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99B952C1-68FF-4874-932C-852F2558255A}"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C90" i="6"/>
  <c r="AH4" i="9"/>
  <c r="AH5" i="9"/>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E4" i="8"/>
  <c r="CF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K6" i="8"/>
  <c r="E6" i="8"/>
  <c r="AG11" i="9"/>
  <c r="AF11" i="9"/>
  <c r="AJ11" i="9"/>
  <c r="AD11" i="9"/>
  <c r="A38" i="4"/>
  <c r="A39" i="4"/>
  <c r="P2" i="2"/>
  <c r="O2" i="2"/>
  <c r="N2" i="2"/>
  <c r="M2" i="2"/>
  <c r="A36" i="4"/>
  <c r="A37" i="4"/>
  <c r="CF5" i="8"/>
  <c r="O4" i="2"/>
  <c r="Q4" i="2"/>
  <c r="R4" i="2"/>
  <c r="M4" i="2"/>
  <c r="N4" i="2"/>
  <c r="R5" i="2"/>
  <c r="P4" i="2"/>
  <c r="E22" i="4"/>
  <c r="F22" i="4"/>
  <c r="E23" i="4"/>
  <c r="F25"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S5" i="2"/>
  <c r="N5" i="2"/>
  <c r="DH4" i="5"/>
  <c r="B33" i="6"/>
  <c r="C4" i="2" s="1"/>
  <c r="F4" i="1" s="1"/>
  <c r="B47" i="6"/>
  <c r="B46" i="6"/>
  <c r="I4" i="1" s="1"/>
  <c r="B45"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AL12" i="9" l="1"/>
  <c r="J35" i="12"/>
  <c r="O9" i="1"/>
  <c r="BJ4" i="1"/>
  <c r="AO4" i="1"/>
  <c r="CQ4" i="5"/>
  <c r="G4" i="5" s="1"/>
  <c r="CT4" i="5"/>
  <c r="J4" i="5" s="1"/>
  <c r="CW4" i="5"/>
  <c r="M4" i="5" s="1"/>
  <c r="DF4" i="5" s="1"/>
  <c r="CS4" i="5"/>
  <c r="I4" i="5" s="1"/>
  <c r="CV4" i="5"/>
  <c r="L4" i="5" s="1"/>
  <c r="CS5" i="5"/>
  <c r="CV5" i="5"/>
  <c r="CR4" i="5"/>
  <c r="H4" i="5" s="1"/>
  <c r="CU4" i="5"/>
  <c r="K4" i="5" s="1"/>
  <c r="CR5" i="5"/>
  <c r="CF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F4" i="8" s="1"/>
  <c r="AU4" i="8" s="1"/>
  <c r="L4" i="11"/>
  <c r="F7" i="8"/>
  <c r="CE27" i="8"/>
  <c r="O6" i="2"/>
  <c r="CE12" i="8"/>
  <c r="CE15" i="8"/>
  <c r="CE5" i="8"/>
  <c r="CE21" i="8"/>
  <c r="CE17" i="8"/>
  <c r="CE8" i="8"/>
  <c r="CE32" i="8"/>
  <c r="CE60" i="8"/>
  <c r="CE18" i="8"/>
  <c r="CE45" i="8"/>
  <c r="CE14" i="8"/>
  <c r="CE30" i="8"/>
  <c r="CE16" i="8"/>
  <c r="CE26" i="8"/>
  <c r="CE13" i="8"/>
  <c r="CE46" i="8"/>
  <c r="CE24" i="8"/>
  <c r="CE19" i="8"/>
  <c r="CE37" i="8"/>
  <c r="CE7" i="8"/>
  <c r="CE9" i="8"/>
  <c r="CE35" i="8"/>
  <c r="CE20" i="8"/>
  <c r="CE23" i="8"/>
  <c r="CE25" i="8"/>
  <c r="CE28" i="8"/>
  <c r="CE6" i="8"/>
  <c r="CE31" i="8"/>
  <c r="CE33" i="8"/>
  <c r="CE55" i="8"/>
  <c r="CE52" i="8"/>
  <c r="CE53" i="8"/>
  <c r="CE67" i="8"/>
  <c r="CE64" i="8"/>
  <c r="CE50" i="8"/>
  <c r="CE44" i="8"/>
  <c r="CE38" i="8"/>
  <c r="CE39" i="8"/>
  <c r="CE48" i="8"/>
  <c r="CE34" i="8"/>
  <c r="CE49" i="8"/>
  <c r="CE36" i="8"/>
  <c r="CE29" i="8"/>
  <c r="CE22" i="8"/>
  <c r="CE10" i="8"/>
  <c r="CE11" i="8"/>
  <c r="CE68" i="8"/>
  <c r="CE61" i="8"/>
  <c r="CE54" i="8"/>
  <c r="CE47" i="8"/>
  <c r="CE40" i="8"/>
  <c r="CE41" i="8"/>
  <c r="CE42" i="8"/>
  <c r="CE43" i="8"/>
  <c r="CE62" i="8"/>
  <c r="CE51" i="8"/>
  <c r="CE70" i="8"/>
  <c r="CE63" i="8"/>
  <c r="CE56" i="8"/>
  <c r="CE57" i="8"/>
  <c r="CE58" i="8"/>
  <c r="CE59" i="8"/>
  <c r="K7" i="8"/>
  <c r="R7" i="2" s="1"/>
  <c r="E7" i="8"/>
  <c r="AG12" i="9"/>
  <c r="AF12" i="9"/>
  <c r="AJ12" i="9"/>
  <c r="AD12" i="9"/>
  <c r="C1270" i="9"/>
  <c r="R6" i="2"/>
  <c r="Q5" i="2"/>
  <c r="P6" i="2"/>
  <c r="O5" i="2"/>
  <c r="N6" i="2"/>
  <c r="M5" i="2"/>
  <c r="H4" i="2"/>
  <c r="M6" i="2"/>
  <c r="M27" i="12"/>
  <c r="B51" i="4"/>
  <c r="D5" i="12"/>
  <c r="F4" i="12"/>
  <c r="E4" i="12" s="1"/>
  <c r="O7" i="2"/>
  <c r="K22" i="12"/>
  <c r="K25" i="12"/>
  <c r="K33" i="12"/>
  <c r="J4" i="12"/>
  <c r="D67" i="4"/>
  <c r="A35" i="6"/>
  <c r="I36" i="4"/>
  <c r="I37" i="4"/>
  <c r="A36" i="6"/>
  <c r="I8" i="12"/>
  <c r="J7" i="12"/>
  <c r="F1" i="14"/>
  <c r="AL13" i="9" l="1"/>
  <c r="CT5" i="5"/>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E76" i="8"/>
  <c r="CE71" i="8"/>
  <c r="CE72" i="8"/>
  <c r="CE69" i="8"/>
  <c r="CE66" i="8"/>
  <c r="CE73" i="8"/>
  <c r="CE65" i="8"/>
  <c r="CE74" i="8"/>
  <c r="CE75" i="8"/>
  <c r="CE77" i="8"/>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I5" i="5"/>
  <c r="F4" i="7"/>
  <c r="D4" i="10"/>
  <c r="DA4" i="5"/>
  <c r="C4" i="10"/>
  <c r="E4" i="7"/>
  <c r="F8" i="8"/>
  <c r="K8" i="8"/>
  <c r="E8" i="8"/>
  <c r="CF7" i="8"/>
  <c r="AG13" i="9"/>
  <c r="AF13" i="9"/>
  <c r="AJ13" i="9"/>
  <c r="AD13" i="9"/>
  <c r="S6" i="2"/>
  <c r="P7" i="2"/>
  <c r="Q6" i="2"/>
  <c r="M7" i="2"/>
  <c r="J8" i="10"/>
  <c r="N8" i="5" s="1"/>
  <c r="O8" i="2"/>
  <c r="D6" i="12"/>
  <c r="F5" i="12"/>
  <c r="E5" i="12" s="1"/>
  <c r="DE4" i="5"/>
  <c r="A37" i="6"/>
  <c r="I38" i="4"/>
  <c r="CL18" i="8"/>
  <c r="CL19" i="8"/>
  <c r="J8" i="12"/>
  <c r="I9" i="12"/>
  <c r="AL14" i="9" l="1"/>
  <c r="AD4" i="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E78" i="8"/>
  <c r="DG4" i="5" a="1"/>
  <c r="DG4" i="5" s="1"/>
  <c r="DD5" i="5"/>
  <c r="AE6" i="8"/>
  <c r="AT6" i="8"/>
  <c r="AM5" i="1"/>
  <c r="AE7" i="8"/>
  <c r="AT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O9" i="2"/>
  <c r="J9" i="10"/>
  <c r="N9" i="5" s="1"/>
  <c r="M8" i="2"/>
  <c r="F6" i="12"/>
  <c r="E6" i="12" s="1"/>
  <c r="D7" i="12"/>
  <c r="DB5" i="5"/>
  <c r="DE5" i="5"/>
  <c r="DF5" i="5"/>
  <c r="DC5" i="5"/>
  <c r="A38" i="6"/>
  <c r="CL20" i="8"/>
  <c r="CL21" i="8"/>
  <c r="I39" i="4"/>
  <c r="I10" i="12"/>
  <c r="J9" i="12"/>
  <c r="E18" i="4"/>
  <c r="AL15" i="9" l="1"/>
  <c r="AD5" i="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E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L16" i="9" l="1"/>
  <c r="BQ4" i="8"/>
  <c r="AD7" i="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CE80" i="8"/>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O11" i="2"/>
  <c r="M10" i="2"/>
  <c r="M4" i="1"/>
  <c r="F4" i="11" s="1"/>
  <c r="I12" i="12"/>
  <c r="J11" i="12"/>
  <c r="AL17" i="9" l="1"/>
  <c r="BQ5" i="8"/>
  <c r="BR5" i="8"/>
  <c r="BK10" i="5"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A5" i="8" s="1"/>
  <c r="AG4" i="7"/>
  <c r="AI4" i="7" s="1"/>
  <c r="AA4" i="8" s="1"/>
  <c r="O14" i="1"/>
  <c r="CD4" i="8"/>
  <c r="CU4" i="8" s="1"/>
  <c r="CV4" i="8" s="1"/>
  <c r="BN5" i="8"/>
  <c r="BO5" i="8"/>
  <c r="BL5" i="8"/>
  <c r="BM5" i="8"/>
  <c r="BJ5" i="8"/>
  <c r="BK5" i="8"/>
  <c r="BI5" i="8"/>
  <c r="AC5" i="10"/>
  <c r="X5" i="10" s="1"/>
  <c r="AM5" i="5"/>
  <c r="AN5" i="5"/>
  <c r="AS9" i="5"/>
  <c r="CE81" i="8"/>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O12" i="2"/>
  <c r="I13" i="12"/>
  <c r="J12" i="12"/>
  <c r="AL18" i="9" l="1"/>
  <c r="BQ6" i="8"/>
  <c r="BR6" i="8"/>
  <c r="B4" i="8"/>
  <c r="D4" i="2" s="1"/>
  <c r="F4" i="2" s="1"/>
  <c r="CD5" i="8"/>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CE82"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V4" i="8"/>
  <c r="E4" i="2"/>
  <c r="L4" i="2" s="1"/>
  <c r="AB4" i="7"/>
  <c r="CU5" i="8"/>
  <c r="CV5" i="8" s="1"/>
  <c r="S11" i="2"/>
  <c r="P12" i="2"/>
  <c r="N12" i="2"/>
  <c r="R12" i="2"/>
  <c r="Q11" i="2"/>
  <c r="M12" i="2"/>
  <c r="O13" i="2"/>
  <c r="D11" i="12"/>
  <c r="F10" i="12"/>
  <c r="E10" i="12" s="1"/>
  <c r="J13" i="10"/>
  <c r="N13" i="5" s="1"/>
  <c r="I14" i="12"/>
  <c r="J13" i="12"/>
  <c r="AL19" i="9" l="1"/>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AA6" i="8" s="1"/>
  <c r="O16" i="1"/>
  <c r="BS7" i="8"/>
  <c r="BN7" i="8"/>
  <c r="BO7" i="8"/>
  <c r="BL7" i="8"/>
  <c r="BM7" i="8"/>
  <c r="BJ7" i="8"/>
  <c r="BK7" i="8"/>
  <c r="BI7" i="8"/>
  <c r="AC7" i="10"/>
  <c r="X7" i="10" s="1"/>
  <c r="AN7" i="5"/>
  <c r="AM7" i="5"/>
  <c r="AS11" i="5"/>
  <c r="AP4" i="1"/>
  <c r="G4" i="2"/>
  <c r="C4" i="8" s="1"/>
  <c r="E14" i="8"/>
  <c r="CE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O14" i="2"/>
  <c r="M13" i="2"/>
  <c r="J14" i="10"/>
  <c r="N14" i="5" s="1"/>
  <c r="I15" i="12"/>
  <c r="J14" i="12"/>
  <c r="AL20" i="9" l="1"/>
  <c r="BQ8" i="8"/>
  <c r="BR8" i="8"/>
  <c r="BN13" i="5"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AA7" i="8" s="1"/>
  <c r="O17" i="1"/>
  <c r="BS8" i="8"/>
  <c r="BN8" i="8"/>
  <c r="BO8" i="8"/>
  <c r="BL8" i="8"/>
  <c r="BM8" i="8"/>
  <c r="BJ8" i="8"/>
  <c r="BK8" i="8"/>
  <c r="BI8" i="8"/>
  <c r="AC8" i="10"/>
  <c r="X8" i="10" s="1"/>
  <c r="AN8" i="5"/>
  <c r="AM8" i="5"/>
  <c r="Z4" i="2"/>
  <c r="AS12" i="5"/>
  <c r="E15" i="8"/>
  <c r="AK12" i="11"/>
  <c r="CE84" i="8"/>
  <c r="AH12" i="11"/>
  <c r="AM12" i="1"/>
  <c r="DF11" i="5"/>
  <c r="DB11" i="5"/>
  <c r="DE11" i="5"/>
  <c r="DH11" i="5"/>
  <c r="AE13" i="8"/>
  <c r="AT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O15" i="2"/>
  <c r="J15" i="10"/>
  <c r="N15" i="5" s="1"/>
  <c r="D13" i="12"/>
  <c r="F12" i="12"/>
  <c r="E12" i="12" s="1"/>
  <c r="J15" i="12"/>
  <c r="I16" i="12"/>
  <c r="AL21" i="9" l="1"/>
  <c r="BQ9" i="8"/>
  <c r="BR9" i="8"/>
  <c r="AD12" i="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AA8" i="8" s="1"/>
  <c r="O18" i="1"/>
  <c r="BS9" i="8"/>
  <c r="BN9" i="8"/>
  <c r="BO9" i="8"/>
  <c r="BL9" i="8"/>
  <c r="BM9" i="8"/>
  <c r="BJ9" i="8"/>
  <c r="BK9" i="8"/>
  <c r="BI9" i="8"/>
  <c r="AC9" i="10"/>
  <c r="X9" i="10" s="1"/>
  <c r="AM9" i="5"/>
  <c r="AN9" i="5"/>
  <c r="Y4" i="2"/>
  <c r="AB5" i="7"/>
  <c r="AV5" i="8"/>
  <c r="E5" i="2"/>
  <c r="L5" i="2" s="1"/>
  <c r="H5" i="11"/>
  <c r="AS13" i="5"/>
  <c r="CE85" i="8"/>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O16" i="2"/>
  <c r="F13" i="12"/>
  <c r="E13" i="12" s="1"/>
  <c r="D14" i="12"/>
  <c r="J16" i="10"/>
  <c r="N16" i="5" s="1"/>
  <c r="M15" i="2"/>
  <c r="J16" i="12"/>
  <c r="I17" i="12"/>
  <c r="J17" i="12" s="1"/>
  <c r="AL22" i="9" l="1"/>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AA9" i="8" s="1"/>
  <c r="O19" i="1"/>
  <c r="BS10" i="8"/>
  <c r="BN10" i="8"/>
  <c r="BO10" i="8"/>
  <c r="BL10" i="8"/>
  <c r="BM10" i="8"/>
  <c r="AN10" i="5"/>
  <c r="BJ10" i="8"/>
  <c r="BK10" i="8"/>
  <c r="BI10" i="8"/>
  <c r="AC10" i="10"/>
  <c r="X10" i="10" s="1"/>
  <c r="AM10" i="5"/>
  <c r="AS14" i="5"/>
  <c r="E18" i="8"/>
  <c r="CE86"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L23" i="9" l="1"/>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A10" i="8" s="1"/>
  <c r="AG11" i="7"/>
  <c r="AI11" i="7" s="1"/>
  <c r="AA11" i="8" s="1"/>
  <c r="O20" i="1"/>
  <c r="BS11" i="8"/>
  <c r="BN11" i="8"/>
  <c r="BO11" i="8"/>
  <c r="BL11" i="8"/>
  <c r="BM11" i="8"/>
  <c r="BJ11" i="8"/>
  <c r="BK11" i="8"/>
  <c r="BI11" i="8"/>
  <c r="AC11" i="10"/>
  <c r="X11" i="10" s="1"/>
  <c r="AM11" i="5"/>
  <c r="AN11" i="5"/>
  <c r="AS15" i="5"/>
  <c r="CY10" i="8"/>
  <c r="E19" i="8"/>
  <c r="CE87"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L24" i="9" l="1"/>
  <c r="BQ12" i="8"/>
  <c r="BR12" i="8"/>
  <c r="AD15" i="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CE88"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L25" i="9" l="1"/>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AA12" i="8" s="1"/>
  <c r="O22" i="1"/>
  <c r="CD12" i="8"/>
  <c r="CU12" i="8" s="1"/>
  <c r="CV12" i="8" s="1"/>
  <c r="BS13" i="8"/>
  <c r="BN13" i="8"/>
  <c r="BO13" i="8"/>
  <c r="BL13" i="8"/>
  <c r="BM13" i="8"/>
  <c r="BJ13" i="8"/>
  <c r="BK13" i="8"/>
  <c r="BI13" i="8"/>
  <c r="AC13" i="10"/>
  <c r="X13" i="10" s="1"/>
  <c r="AM13" i="5"/>
  <c r="AN13" i="5"/>
  <c r="AS17" i="5"/>
  <c r="E21" i="8"/>
  <c r="CE89"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O20" i="2"/>
  <c r="AL26" i="9" l="1"/>
  <c r="BQ14" i="8"/>
  <c r="BR14" i="8"/>
  <c r="BH19" i="5"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AA13" i="8" s="1"/>
  <c r="O23" i="1"/>
  <c r="BS14" i="8"/>
  <c r="BT14" i="8"/>
  <c r="BN14" i="8"/>
  <c r="BO14" i="8"/>
  <c r="BL14" i="8"/>
  <c r="BM14" i="8"/>
  <c r="BJ14" i="8"/>
  <c r="BK14" i="8"/>
  <c r="BI14" i="8"/>
  <c r="AC14" i="10"/>
  <c r="X14" i="10" s="1"/>
  <c r="AM14" i="5"/>
  <c r="AN14" i="5"/>
  <c r="AS18" i="5"/>
  <c r="E22" i="8"/>
  <c r="CE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L27" i="9" l="1"/>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AA14" i="8" s="1"/>
  <c r="O24" i="1"/>
  <c r="BN15" i="8"/>
  <c r="BO15" i="8"/>
  <c r="BL15" i="8"/>
  <c r="BM15" i="8"/>
  <c r="BJ15" i="8"/>
  <c r="BK15" i="8"/>
  <c r="BI15" i="8"/>
  <c r="AC15" i="10"/>
  <c r="X15" i="10" s="1"/>
  <c r="AM15" i="5"/>
  <c r="AN15" i="5"/>
  <c r="AS19" i="5"/>
  <c r="E23" i="8"/>
  <c r="CE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L28" i="9" l="1"/>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CD15" i="8"/>
  <c r="CU15" i="8" s="1"/>
  <c r="CV15" i="8" s="1"/>
  <c r="P15" i="8"/>
  <c r="CN15" i="8"/>
  <c r="CR15" i="8" s="1"/>
  <c r="F24" i="8"/>
  <c r="AO16" i="5"/>
  <c r="AV17" i="5"/>
  <c r="BP20" i="5" a="1"/>
  <c r="BP20" i="5" s="1"/>
  <c r="AG15" i="7"/>
  <c r="AI15" i="7" s="1"/>
  <c r="AA15" i="8" s="1"/>
  <c r="O25" i="1"/>
  <c r="BS16" i="8"/>
  <c r="BN16" i="8"/>
  <c r="BO16" i="8"/>
  <c r="BL16" i="8"/>
  <c r="BM16" i="8"/>
  <c r="BJ16" i="8"/>
  <c r="BK16" i="8"/>
  <c r="BI16" i="8"/>
  <c r="AC16" i="10"/>
  <c r="X16" i="10" s="1"/>
  <c r="AM16" i="5"/>
  <c r="AN16" i="5"/>
  <c r="AS20" i="5"/>
  <c r="E24" i="8"/>
  <c r="CE92"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L29" i="9" l="1"/>
  <c r="BQ17" i="8"/>
  <c r="BR17" i="8"/>
  <c r="AD20" i="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P15" i="8"/>
  <c r="DC15" i="8" s="1"/>
  <c r="G15" i="1" s="1"/>
  <c r="N15" i="8" s="1"/>
  <c r="F25" i="8"/>
  <c r="AO17" i="5"/>
  <c r="AV18" i="5"/>
  <c r="BP21" i="5" a="1"/>
  <c r="BP21" i="5" s="1"/>
  <c r="AI18" i="5"/>
  <c r="AN18" i="5" s="1"/>
  <c r="AG16" i="7"/>
  <c r="AI16" i="7" s="1"/>
  <c r="AA16" i="8" s="1"/>
  <c r="O26" i="1"/>
  <c r="BS17" i="8"/>
  <c r="BN17" i="8"/>
  <c r="BO17" i="8"/>
  <c r="BL17" i="8"/>
  <c r="BM17" i="8"/>
  <c r="BJ17" i="8"/>
  <c r="BK17" i="8"/>
  <c r="BI17" i="8"/>
  <c r="AC17" i="10"/>
  <c r="X17" i="10" s="1"/>
  <c r="AM17" i="5"/>
  <c r="AN17" i="5"/>
  <c r="AS21" i="5"/>
  <c r="AH21" i="11"/>
  <c r="E25" i="8"/>
  <c r="CE93" i="8"/>
  <c r="DF20" i="5"/>
  <c r="DE20" i="5"/>
  <c r="AK21" i="11"/>
  <c r="AJ21" i="1"/>
  <c r="DB20" i="5"/>
  <c r="AF19" i="1"/>
  <c r="Y19" i="1"/>
  <c r="DJ20" i="5"/>
  <c r="AE19" i="1"/>
  <c r="W19" i="1" s="1"/>
  <c r="DH20" i="5"/>
  <c r="K23" i="11"/>
  <c r="A23" i="14"/>
  <c r="CA23" i="14" s="1"/>
  <c r="A23" i="5"/>
  <c r="BH23" i="5" s="1" a="1"/>
  <c r="BH23" i="5" s="1"/>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O24" i="2"/>
  <c r="J24" i="10"/>
  <c r="N24" i="5" s="1"/>
  <c r="AL30" i="9" l="1"/>
  <c r="BQ18" i="8"/>
  <c r="BR18" i="8"/>
  <c r="BE23" i="5" a="1"/>
  <c r="BE23" i="5" s="1"/>
  <c r="BG23" i="5" a="1"/>
  <c r="BG23" i="5" s="1"/>
  <c r="BG24" i="5" s="1" a="1"/>
  <c r="BG24" i="5" s="1"/>
  <c r="CR23" i="5"/>
  <c r="CS23" i="5"/>
  <c r="CQ23" i="5"/>
  <c r="CU23" i="5"/>
  <c r="CT23" i="5"/>
  <c r="CV23" i="5"/>
  <c r="CW23" i="5"/>
  <c r="AY23" i="5" a="1"/>
  <c r="AY23" i="5" s="1"/>
  <c r="BL23" i="5" a="1"/>
  <c r="BL23" i="5" s="1"/>
  <c r="AD22" i="1" s="1"/>
  <c r="BM23" i="5" a="1"/>
  <c r="BM23" i="5" s="1"/>
  <c r="V21" i="2"/>
  <c r="P17" i="8"/>
  <c r="CU16" i="8"/>
  <c r="CV16" i="8" s="1"/>
  <c r="P16" i="8"/>
  <c r="F26" i="8"/>
  <c r="AO18" i="5"/>
  <c r="AV19" i="5"/>
  <c r="AM18" i="5"/>
  <c r="BP22" i="5" a="1"/>
  <c r="BP22" i="5" s="1"/>
  <c r="AG17" i="7"/>
  <c r="AI17" i="7" s="1"/>
  <c r="AA17" i="8" s="1"/>
  <c r="O27" i="1"/>
  <c r="BS18" i="8"/>
  <c r="BN18" i="8"/>
  <c r="BO18" i="8"/>
  <c r="BL18" i="8"/>
  <c r="BM18" i="8"/>
  <c r="BJ18" i="8"/>
  <c r="BK18" i="8"/>
  <c r="BI18" i="8"/>
  <c r="AC18" i="10"/>
  <c r="AT22" i="5"/>
  <c r="AA18" i="10"/>
  <c r="AS22" i="5"/>
  <c r="AH22" i="11"/>
  <c r="E26" i="8"/>
  <c r="CE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O25" i="2"/>
  <c r="P25" i="2"/>
  <c r="M24" i="2"/>
  <c r="AL31" i="9" l="1"/>
  <c r="BQ19" i="8"/>
  <c r="BR19" i="8"/>
  <c r="CQ24" i="5"/>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AA18" i="8" s="1"/>
  <c r="O28" i="1"/>
  <c r="X18" i="10"/>
  <c r="BS19" i="8"/>
  <c r="BT19" i="8"/>
  <c r="BN19" i="8"/>
  <c r="BO19" i="8"/>
  <c r="BL19" i="8"/>
  <c r="BM19" i="8"/>
  <c r="BJ19" i="8"/>
  <c r="BK19" i="8"/>
  <c r="BI19" i="8"/>
  <c r="AN19" i="5"/>
  <c r="AC19" i="10"/>
  <c r="X19" i="10" s="1"/>
  <c r="AM19" i="5"/>
  <c r="AH23" i="11"/>
  <c r="AS23" i="5"/>
  <c r="E27" i="8"/>
  <c r="CE95"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O26" i="2"/>
  <c r="M25" i="2"/>
  <c r="J26" i="10"/>
  <c r="N26" i="5" s="1"/>
  <c r="AL32" i="9" l="1"/>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AA19" i="8" s="1"/>
  <c r="O29" i="1"/>
  <c r="BS20" i="8"/>
  <c r="BN20" i="8"/>
  <c r="BO20" i="8"/>
  <c r="BL20" i="8"/>
  <c r="BM20" i="8"/>
  <c r="BJ20" i="8"/>
  <c r="BK20" i="8"/>
  <c r="BI20" i="8"/>
  <c r="AC20" i="10"/>
  <c r="X20" i="10" s="1"/>
  <c r="AM20" i="5"/>
  <c r="AN20" i="5"/>
  <c r="AH24" i="11"/>
  <c r="AS24" i="5"/>
  <c r="E28" i="8"/>
  <c r="CE96" i="8"/>
  <c r="AM24" i="1"/>
  <c r="AK24" i="11"/>
  <c r="DF23" i="5"/>
  <c r="DB23" i="5"/>
  <c r="DE23" i="5"/>
  <c r="K26" i="11"/>
  <c r="A26" i="14"/>
  <c r="CA26" i="14" s="1"/>
  <c r="A26" i="9"/>
  <c r="A26" i="2"/>
  <c r="A26" i="7"/>
  <c r="R26" i="7" s="1"/>
  <c r="A26" i="8"/>
  <c r="A26" i="5"/>
  <c r="BK26" i="5" s="1" a="1"/>
  <c r="BK26" i="5" s="1"/>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O27" i="2"/>
  <c r="J27" i="10"/>
  <c r="N27" i="5" s="1"/>
  <c r="P27" i="2"/>
  <c r="AL33" i="9" l="1"/>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A21" i="8" s="1"/>
  <c r="AG20" i="7"/>
  <c r="AI20" i="7" s="1"/>
  <c r="AA20" i="8" s="1"/>
  <c r="O30" i="1"/>
  <c r="BS21" i="8"/>
  <c r="BN21" i="8"/>
  <c r="BO21" i="8"/>
  <c r="BL21" i="8"/>
  <c r="BM21" i="8"/>
  <c r="BJ21" i="8"/>
  <c r="BK21" i="8"/>
  <c r="BI21" i="8"/>
  <c r="AC21" i="10"/>
  <c r="X21" i="10" s="1"/>
  <c r="AM21" i="5"/>
  <c r="AN21" i="5"/>
  <c r="AH25" i="11"/>
  <c r="AS25" i="5"/>
  <c r="E29" i="8"/>
  <c r="CE97"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L34" i="9" l="1"/>
  <c r="BQ22" i="8"/>
  <c r="BR22" i="8"/>
  <c r="AD25" i="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CE98"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AL35" i="9" l="1"/>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P21" i="8"/>
  <c r="CH23" i="8"/>
  <c r="CX23" i="8" s="1"/>
  <c r="P22" i="8"/>
  <c r="F31" i="8"/>
  <c r="AO23" i="5"/>
  <c r="AV24" i="5"/>
  <c r="BP27" i="5" a="1"/>
  <c r="BP27" i="5" s="1"/>
  <c r="AG22" i="7"/>
  <c r="AI22" i="7" s="1"/>
  <c r="AA22" i="8" s="1"/>
  <c r="AG23" i="7"/>
  <c r="AI23" i="7" s="1"/>
  <c r="AA23" i="8" s="1"/>
  <c r="O32" i="1"/>
  <c r="BS23" i="8"/>
  <c r="AN23" i="5"/>
  <c r="BN23" i="8"/>
  <c r="BO23" i="8"/>
  <c r="BL23" i="8"/>
  <c r="BM23" i="8"/>
  <c r="BJ23" i="8"/>
  <c r="BK23" i="8"/>
  <c r="BI23" i="8"/>
  <c r="AC23" i="10"/>
  <c r="X23" i="10" s="1"/>
  <c r="AM23" i="5"/>
  <c r="AH27" i="11"/>
  <c r="AS27" i="5"/>
  <c r="E31" i="8"/>
  <c r="CE99" i="8"/>
  <c r="CU21" i="8"/>
  <c r="CV21" i="8" s="1"/>
  <c r="DF26" i="5"/>
  <c r="AM27" i="1"/>
  <c r="DB26" i="5"/>
  <c r="DE26" i="5"/>
  <c r="AK27" i="11"/>
  <c r="AF25" i="1"/>
  <c r="K29" i="11"/>
  <c r="A29" i="14"/>
  <c r="CA29" i="14" s="1"/>
  <c r="A29" i="9"/>
  <c r="A29" i="7"/>
  <c r="R29" i="7" s="1"/>
  <c r="A29" i="2"/>
  <c r="A29" i="5"/>
  <c r="BN29" i="5" s="1" a="1"/>
  <c r="BN29" i="5" s="1"/>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O30" i="2"/>
  <c r="J30" i="10"/>
  <c r="N30" i="5" s="1"/>
  <c r="M29" i="2"/>
  <c r="P30" i="2"/>
  <c r="AL36" i="9" l="1"/>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CE100"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O31" i="2"/>
  <c r="P31" i="2"/>
  <c r="AL37" i="9" l="1"/>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AA24" i="8" s="1"/>
  <c r="O34" i="1"/>
  <c r="BS25" i="8"/>
  <c r="BN25" i="8"/>
  <c r="BO25" i="8"/>
  <c r="BL25" i="8"/>
  <c r="BM25" i="8"/>
  <c r="BJ25" i="8"/>
  <c r="BK25" i="8"/>
  <c r="BI25" i="8"/>
  <c r="AC25" i="10"/>
  <c r="X25" i="10" s="1"/>
  <c r="AM25" i="5"/>
  <c r="AN25" i="5"/>
  <c r="AH29" i="11"/>
  <c r="AS29" i="5"/>
  <c r="E33" i="8"/>
  <c r="CE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L38" i="9" l="1"/>
  <c r="BQ26" i="8"/>
  <c r="BR26" i="8"/>
  <c r="AD29" i="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DC23" i="8"/>
  <c r="G23" i="1" s="1"/>
  <c r="N23" i="8" s="1"/>
  <c r="V29" i="2"/>
  <c r="CN25" i="8"/>
  <c r="CR25" i="8" s="1"/>
  <c r="F34" i="8"/>
  <c r="AO26" i="5"/>
  <c r="AV27" i="5"/>
  <c r="BP30" i="5" a="1"/>
  <c r="BP30" i="5" s="1"/>
  <c r="AG25" i="7"/>
  <c r="AI25" i="7" s="1"/>
  <c r="AA25" i="8" s="1"/>
  <c r="O35" i="1"/>
  <c r="BS26" i="8"/>
  <c r="BT26" i="8"/>
  <c r="BN26" i="8"/>
  <c r="BO26" i="8"/>
  <c r="BL26" i="8"/>
  <c r="BM26" i="8"/>
  <c r="BJ26" i="8"/>
  <c r="BK26" i="8"/>
  <c r="BI26" i="8"/>
  <c r="AC26" i="10"/>
  <c r="X26" i="10" s="1"/>
  <c r="AM26" i="5"/>
  <c r="AN26" i="5"/>
  <c r="AH30" i="11"/>
  <c r="AS30" i="5"/>
  <c r="E34" i="8"/>
  <c r="CE102"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L39" i="9" l="1"/>
  <c r="BQ27" i="8"/>
  <c r="BR27" i="8"/>
  <c r="AD30" i="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AA26" i="8" s="1"/>
  <c r="O36" i="1"/>
  <c r="BW27" i="8"/>
  <c r="CC27" i="8" s="1"/>
  <c r="BS27" i="8"/>
  <c r="BN27" i="8"/>
  <c r="BO27" i="8"/>
  <c r="BL27" i="8"/>
  <c r="BM27" i="8"/>
  <c r="BJ27" i="8"/>
  <c r="BK27" i="8"/>
  <c r="BI27" i="8"/>
  <c r="AC27" i="10"/>
  <c r="X27" i="10" s="1"/>
  <c r="AN27" i="5"/>
  <c r="AM27" i="5"/>
  <c r="AH31" i="11"/>
  <c r="AS31" i="5"/>
  <c r="E35" i="8"/>
  <c r="CE103" i="8"/>
  <c r="CU25" i="8"/>
  <c r="CV25" i="8" s="1"/>
  <c r="DE30" i="5"/>
  <c r="DF30" i="5"/>
  <c r="DB30" i="5"/>
  <c r="AJ31" i="1"/>
  <c r="DH30" i="5"/>
  <c r="AF29" i="1"/>
  <c r="AM31" i="1"/>
  <c r="AE29" i="1"/>
  <c r="W29" i="1" s="1"/>
  <c r="AT32" i="8"/>
  <c r="AE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L40" i="9" l="1"/>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AA27" i="8" s="1"/>
  <c r="O37" i="1"/>
  <c r="CD27" i="8"/>
  <c r="CU27" i="8" s="1"/>
  <c r="CV27" i="8" s="1"/>
  <c r="BW28" i="8"/>
  <c r="CC28" i="8" s="1"/>
  <c r="BS28" i="8"/>
  <c r="BN28" i="8"/>
  <c r="BO28" i="8"/>
  <c r="BL28" i="8"/>
  <c r="BM28" i="8"/>
  <c r="BJ28" i="8"/>
  <c r="BK28" i="8"/>
  <c r="BI28" i="8"/>
  <c r="AC28" i="10"/>
  <c r="X28" i="10" s="1"/>
  <c r="AN28" i="5"/>
  <c r="AM28" i="5"/>
  <c r="AH32" i="11"/>
  <c r="AS32" i="5"/>
  <c r="E36" i="8"/>
  <c r="CE104"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AL41" i="9" l="1"/>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A28" i="8" s="1"/>
  <c r="AG29" i="7"/>
  <c r="AI29" i="7" s="1"/>
  <c r="AA29" i="8" s="1"/>
  <c r="O38" i="1"/>
  <c r="CD28" i="8"/>
  <c r="CU28" i="8" s="1"/>
  <c r="CV28" i="8" s="1"/>
  <c r="BS29" i="8"/>
  <c r="BN29" i="8"/>
  <c r="BO29" i="8"/>
  <c r="BL29" i="8"/>
  <c r="BM29" i="8"/>
  <c r="BJ29" i="8"/>
  <c r="BK29" i="8"/>
  <c r="BI29" i="8"/>
  <c r="AC29" i="10"/>
  <c r="X29" i="10" s="1"/>
  <c r="AN29" i="5"/>
  <c r="AM29" i="5"/>
  <c r="AH33" i="11"/>
  <c r="AS33" i="5"/>
  <c r="E37" i="8"/>
  <c r="CE105"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L42" i="9" l="1"/>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CE106"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O37" i="2"/>
  <c r="J37" i="10"/>
  <c r="N37" i="5" s="1"/>
  <c r="P37" i="2"/>
  <c r="AL43" i="9" l="1"/>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A30" i="8" s="1"/>
  <c r="AG31" i="7"/>
  <c r="AI31" i="7" s="1"/>
  <c r="AA31" i="8" s="1"/>
  <c r="O40" i="1"/>
  <c r="BW31" i="8"/>
  <c r="CC31" i="8" s="1"/>
  <c r="BS31" i="8"/>
  <c r="BN31" i="8"/>
  <c r="BO31" i="8"/>
  <c r="BL31" i="8"/>
  <c r="BM31" i="8"/>
  <c r="BJ31" i="8"/>
  <c r="BK31" i="8"/>
  <c r="BI31" i="8"/>
  <c r="AC31" i="10"/>
  <c r="X31" i="10" s="1"/>
  <c r="AN31" i="5"/>
  <c r="AM31" i="5"/>
  <c r="AS35" i="5"/>
  <c r="E39" i="8"/>
  <c r="CE107"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AL44" i="9" l="1"/>
  <c r="BQ32" i="8"/>
  <c r="BR32" i="8"/>
  <c r="BA37" i="5"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AA32" i="8" s="1"/>
  <c r="O41" i="1"/>
  <c r="CD31" i="8"/>
  <c r="CU31" i="8" s="1"/>
  <c r="CV31" i="8" s="1"/>
  <c r="BN32" i="8"/>
  <c r="BO32" i="8"/>
  <c r="BL32" i="8"/>
  <c r="BM32" i="8"/>
  <c r="BJ32" i="8"/>
  <c r="BK32" i="8"/>
  <c r="BI32" i="8"/>
  <c r="AC32" i="10"/>
  <c r="X32" i="10" s="1"/>
  <c r="AM32" i="5"/>
  <c r="AN32" i="5"/>
  <c r="AS36" i="5"/>
  <c r="AK36" i="11"/>
  <c r="E40" i="8"/>
  <c r="CE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L45" i="9" l="1"/>
  <c r="BQ33" i="8"/>
  <c r="BR33" i="8"/>
  <c r="AZ38" i="5"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CE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O40" i="2"/>
  <c r="M39" i="2"/>
  <c r="AL46" i="9" l="1"/>
  <c r="BQ34" i="8"/>
  <c r="BR34" i="8"/>
  <c r="BM39" i="5"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AA33" i="8" s="1"/>
  <c r="O43" i="1"/>
  <c r="BW34" i="8"/>
  <c r="CC34" i="8" s="1"/>
  <c r="BS34" i="8"/>
  <c r="BN34" i="8"/>
  <c r="BO34" i="8"/>
  <c r="BL34" i="8"/>
  <c r="BM34" i="8"/>
  <c r="BJ34" i="8"/>
  <c r="BK34" i="8"/>
  <c r="BI34" i="8"/>
  <c r="AC34" i="10"/>
  <c r="X34" i="10" s="1"/>
  <c r="AM34" i="5"/>
  <c r="AN34" i="5"/>
  <c r="AS38" i="5"/>
  <c r="AK38" i="11"/>
  <c r="E42" i="8"/>
  <c r="CE110"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L47" i="9" l="1"/>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A35" i="8" s="1"/>
  <c r="AG34" i="7"/>
  <c r="AI34" i="7" s="1"/>
  <c r="AA34" i="8" s="1"/>
  <c r="O44" i="1"/>
  <c r="CD34" i="8"/>
  <c r="CU34" i="8" s="1"/>
  <c r="CV34" i="8" s="1"/>
  <c r="BS35" i="8"/>
  <c r="BN35" i="8"/>
  <c r="BO35" i="8"/>
  <c r="BL35" i="8"/>
  <c r="BM35" i="8"/>
  <c r="BJ35" i="8"/>
  <c r="BK35" i="8"/>
  <c r="BI35" i="8"/>
  <c r="AC35" i="10"/>
  <c r="X35" i="10" s="1"/>
  <c r="AM35" i="5"/>
  <c r="AN35" i="5"/>
  <c r="AK39" i="11"/>
  <c r="AS39" i="5"/>
  <c r="E43" i="8"/>
  <c r="CE111"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L48" i="9" l="1"/>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E112" i="8"/>
  <c r="CC35" i="8"/>
  <c r="P35" i="8" s="1"/>
  <c r="DF39" i="5"/>
  <c r="DE39" i="5"/>
  <c r="DB39" i="5"/>
  <c r="AF38" i="1"/>
  <c r="K42" i="11"/>
  <c r="A42" i="14"/>
  <c r="CA42" i="14" s="1"/>
  <c r="A42" i="5"/>
  <c r="AZ42" i="5" s="1" a="1"/>
  <c r="AZ42" i="5" s="1"/>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O43" i="2"/>
  <c r="J43" i="10"/>
  <c r="N43" i="5" s="1"/>
  <c r="P43" i="2"/>
  <c r="M42" i="2"/>
  <c r="AL49" i="9" l="1"/>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A36" i="8" s="1"/>
  <c r="AG37" i="7"/>
  <c r="AI37" i="7" s="1"/>
  <c r="AA37" i="8" s="1"/>
  <c r="O46" i="1"/>
  <c r="CD36" i="8"/>
  <c r="CU36" i="8" s="1"/>
  <c r="CV36" i="8" s="1"/>
  <c r="BS37" i="8"/>
  <c r="BN37" i="8"/>
  <c r="BO37" i="8"/>
  <c r="BL37" i="8"/>
  <c r="BM37" i="8"/>
  <c r="BJ37" i="8"/>
  <c r="BK37" i="8"/>
  <c r="BI37" i="8"/>
  <c r="AN37" i="5"/>
  <c r="AC37" i="10"/>
  <c r="X37" i="10" s="1"/>
  <c r="AM37" i="5"/>
  <c r="AH41" i="11"/>
  <c r="AK41" i="11"/>
  <c r="AS41" i="5"/>
  <c r="E45" i="8"/>
  <c r="CE113"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L50" i="9" l="1"/>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CE114"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O45" i="2"/>
  <c r="J45" i="10"/>
  <c r="N45" i="5" s="1"/>
  <c r="P45" i="2"/>
  <c r="M44" i="2"/>
  <c r="AL51" i="9" l="1"/>
  <c r="BQ39" i="8"/>
  <c r="BR39" i="8"/>
  <c r="AD42" i="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P38" i="8"/>
  <c r="CP37" i="8"/>
  <c r="DC37" i="8" s="1"/>
  <c r="G37" i="1" s="1"/>
  <c r="N37" i="8" s="1"/>
  <c r="F47" i="8"/>
  <c r="AO39" i="5"/>
  <c r="AV40" i="5"/>
  <c r="BP43" i="5" a="1"/>
  <c r="BP43" i="5" s="1"/>
  <c r="D40" i="9"/>
  <c r="BS39" i="8"/>
  <c r="BW39" i="8"/>
  <c r="CC39" i="8" s="1"/>
  <c r="BH40" i="8"/>
  <c r="AG38" i="7"/>
  <c r="AI38" i="7" s="1"/>
  <c r="AA38" i="8" s="1"/>
  <c r="O48" i="1"/>
  <c r="AN39" i="5"/>
  <c r="BN39" i="8"/>
  <c r="BO39" i="8"/>
  <c r="BL39" i="8"/>
  <c r="BM39" i="8"/>
  <c r="BJ39" i="8"/>
  <c r="BK39" i="8"/>
  <c r="BI39" i="8"/>
  <c r="AC39" i="10"/>
  <c r="X39" i="10" s="1"/>
  <c r="AM39" i="5"/>
  <c r="AH43" i="11"/>
  <c r="AS43" i="5"/>
  <c r="E47" i="8"/>
  <c r="CE115"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L52" i="9" l="1"/>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AA39" i="8" s="1"/>
  <c r="O49" i="1"/>
  <c r="BS40" i="8"/>
  <c r="BN40" i="8"/>
  <c r="BO40" i="8"/>
  <c r="BL40" i="8"/>
  <c r="BM40" i="8"/>
  <c r="BJ40" i="8"/>
  <c r="BK40" i="8"/>
  <c r="BI40" i="8"/>
  <c r="AC40" i="10"/>
  <c r="X40" i="10" s="1"/>
  <c r="AM40" i="5"/>
  <c r="AN40" i="5"/>
  <c r="AS44" i="5"/>
  <c r="E48" i="8"/>
  <c r="CE116" i="8"/>
  <c r="AK44" i="11"/>
  <c r="DE43" i="5"/>
  <c r="AH44" i="11"/>
  <c r="AM44" i="1"/>
  <c r="DB43" i="5"/>
  <c r="DF43" i="5"/>
  <c r="AE45" i="8"/>
  <c r="AT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O47" i="2"/>
  <c r="P47" i="2"/>
  <c r="AL53" i="9" l="1"/>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AA40" i="8" s="1"/>
  <c r="O50" i="1"/>
  <c r="BS41" i="8"/>
  <c r="BN41" i="8"/>
  <c r="BO41" i="8"/>
  <c r="BL41" i="8"/>
  <c r="BM41" i="8"/>
  <c r="BJ41" i="8"/>
  <c r="BK41" i="8"/>
  <c r="BI41" i="8"/>
  <c r="AC41" i="10"/>
  <c r="X41" i="10" s="1"/>
  <c r="AM41" i="5"/>
  <c r="AN41" i="5"/>
  <c r="AS45" i="5"/>
  <c r="E49" i="8"/>
  <c r="CE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L54" i="9" l="1"/>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P40" i="8"/>
  <c r="DC40" i="8" s="1"/>
  <c r="G40" i="1" s="1"/>
  <c r="N40" i="8" s="1"/>
  <c r="P41" i="8"/>
  <c r="F50" i="8"/>
  <c r="AO42" i="5"/>
  <c r="AV43" i="5"/>
  <c r="BP46" i="5" a="1"/>
  <c r="BP46" i="5" s="1"/>
  <c r="AG41" i="7"/>
  <c r="AI41" i="7" s="1"/>
  <c r="AA41" i="8" s="1"/>
  <c r="O51" i="1"/>
  <c r="BS42" i="8"/>
  <c r="BN42" i="8"/>
  <c r="BO42" i="8"/>
  <c r="BL42" i="8"/>
  <c r="BM42" i="8"/>
  <c r="BJ42" i="8"/>
  <c r="BK42" i="8"/>
  <c r="BI42" i="8"/>
  <c r="AC42" i="10"/>
  <c r="X42" i="10" s="1"/>
  <c r="AM42" i="5"/>
  <c r="AN42" i="5"/>
  <c r="AS46" i="5"/>
  <c r="E50" i="8"/>
  <c r="CE118"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O49" i="2"/>
  <c r="M48" i="2"/>
  <c r="P49" i="2"/>
  <c r="J49" i="10"/>
  <c r="N49" i="5" s="1"/>
  <c r="AL55" i="9" l="1"/>
  <c r="BQ43" i="8"/>
  <c r="BR43" i="8"/>
  <c r="CV48" i="5"/>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AA42" i="8" s="1"/>
  <c r="O52" i="1"/>
  <c r="BS43" i="8"/>
  <c r="BN43" i="8"/>
  <c r="BO43" i="8"/>
  <c r="BL43" i="8"/>
  <c r="BM43" i="8"/>
  <c r="BJ43" i="8"/>
  <c r="BK43" i="8"/>
  <c r="BI43" i="8"/>
  <c r="AC43" i="10"/>
  <c r="X43" i="10" s="1"/>
  <c r="AN43" i="5"/>
  <c r="AM43" i="5"/>
  <c r="AS47" i="5"/>
  <c r="E51" i="8"/>
  <c r="CE119"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O50" i="2"/>
  <c r="P50" i="2"/>
  <c r="AL56" i="9" l="1"/>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AA43" i="8" s="1"/>
  <c r="O53" i="1"/>
  <c r="BS44" i="8"/>
  <c r="BN44" i="8"/>
  <c r="BO44" i="8"/>
  <c r="BL44" i="8"/>
  <c r="BM44" i="8"/>
  <c r="BJ44" i="8"/>
  <c r="BK44" i="8"/>
  <c r="BI44" i="8"/>
  <c r="AC44" i="10"/>
  <c r="X44" i="10" s="1"/>
  <c r="AN44" i="5"/>
  <c r="AM44" i="5"/>
  <c r="AS48" i="5"/>
  <c r="E52" i="8"/>
  <c r="CE120"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O51" i="2"/>
  <c r="M50" i="2"/>
  <c r="AL57" i="9" l="1"/>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E121"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O52" i="2"/>
  <c r="P52" i="2"/>
  <c r="J52" i="10"/>
  <c r="N52" i="5" s="1"/>
  <c r="AL58" i="9" l="1"/>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CE122"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O53" i="2"/>
  <c r="J53" i="10"/>
  <c r="N53" i="5" s="1"/>
  <c r="M52" i="2"/>
  <c r="P53" i="2"/>
  <c r="AL59" i="9" l="1"/>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CE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O54" i="2"/>
  <c r="M53" i="2"/>
  <c r="J54" i="10"/>
  <c r="N54" i="5" s="1"/>
  <c r="AL60" i="9" l="1"/>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CE124"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O55" i="2"/>
  <c r="P55" i="2"/>
  <c r="M54" i="2"/>
  <c r="J55" i="10"/>
  <c r="N55" i="5" s="1"/>
  <c r="AL61" i="9" l="1"/>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CE125"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O56" i="2"/>
  <c r="AL62" i="9" l="1"/>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CE126" i="8"/>
  <c r="AH54" i="11"/>
  <c r="AJ54" i="1"/>
  <c r="DF53" i="5"/>
  <c r="DB53" i="5"/>
  <c r="AM54" i="1"/>
  <c r="DE53" i="5"/>
  <c r="K56" i="11"/>
  <c r="A56" i="14"/>
  <c r="CA56" i="14" s="1"/>
  <c r="A56" i="8"/>
  <c r="A56" i="2"/>
  <c r="A56" i="5"/>
  <c r="BB56" i="5" s="1" a="1"/>
  <c r="BB56" i="5" s="1"/>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L63" i="9" l="1"/>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CE127"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L64" i="9" l="1"/>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CE128"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L65" i="9" l="1"/>
  <c r="BQ53" i="8"/>
  <c r="BR53" i="8"/>
  <c r="AD56" i="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CE129"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L66" i="9" l="1"/>
  <c r="BQ54" i="8"/>
  <c r="BR54" i="8"/>
  <c r="AD57" i="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CE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AL67" i="9" l="1"/>
  <c r="BQ55" i="8"/>
  <c r="BR55" i="8"/>
  <c r="BK60" i="5"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CE131"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O62" i="2"/>
  <c r="J62" i="10"/>
  <c r="N62" i="5" s="1"/>
  <c r="M61" i="2"/>
  <c r="P62" i="2"/>
  <c r="AL68" i="9" l="1"/>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AS60" i="5"/>
  <c r="E64" i="8"/>
  <c r="CE132"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O63" i="2"/>
  <c r="AL69" i="9" l="1"/>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AS61" i="5"/>
  <c r="E65" i="8"/>
  <c r="CE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L70" i="9" l="1"/>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AS62" i="5"/>
  <c r="E66" i="8"/>
  <c r="CE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L71" i="9" l="1"/>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AS63" i="5"/>
  <c r="E67" i="8"/>
  <c r="CE136" i="8"/>
  <c r="CE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O66" i="2"/>
  <c r="P66" i="2"/>
  <c r="M65" i="2"/>
  <c r="AL72" i="9" l="1"/>
  <c r="BQ60" i="8"/>
  <c r="BR60" i="8"/>
  <c r="AD63" i="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O67" i="2"/>
  <c r="J67" i="10"/>
  <c r="N67" i="5" s="1"/>
  <c r="M66" i="2"/>
  <c r="P67" i="2"/>
  <c r="AL73" i="9" l="1"/>
  <c r="BQ61" i="8"/>
  <c r="BR61" i="8"/>
  <c r="AD64" i="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P60" i="8"/>
  <c r="F69" i="8"/>
  <c r="AO61" i="5"/>
  <c r="AV62" i="5"/>
  <c r="BP65" i="5" a="1"/>
  <c r="BP65" i="5" s="1"/>
  <c r="AG60" i="7"/>
  <c r="AI60" i="7" s="1"/>
  <c r="AA60" i="8" s="1"/>
  <c r="O70" i="1"/>
  <c r="BW61" i="8"/>
  <c r="CD61" i="8" s="1"/>
  <c r="BS61" i="8"/>
  <c r="BN61" i="8"/>
  <c r="BO61" i="8"/>
  <c r="BL61" i="8"/>
  <c r="BM61" i="8"/>
  <c r="BJ61" i="8"/>
  <c r="BK61" i="8"/>
  <c r="BI61" i="8"/>
  <c r="AC61" i="10"/>
  <c r="X61" i="10" s="1"/>
  <c r="AM61" i="5"/>
  <c r="AN61" i="5"/>
  <c r="AH65" i="11"/>
  <c r="AS65" i="5"/>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AR60"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Q60" i="5"/>
  <c r="AB64" i="1"/>
  <c r="DI64" i="5"/>
  <c r="AC63" i="1"/>
  <c r="DA63" i="5"/>
  <c r="DG63" i="5" s="1" a="1"/>
  <c r="DG63" i="5" s="1"/>
  <c r="AF73" i="9"/>
  <c r="AJ73" i="9"/>
  <c r="AD135" i="9"/>
  <c r="N49" i="1"/>
  <c r="S66" i="2"/>
  <c r="N67" i="2"/>
  <c r="R67" i="2"/>
  <c r="Q66" i="2"/>
  <c r="P68" i="2"/>
  <c r="O68" i="2"/>
  <c r="J68" i="10"/>
  <c r="N68" i="5" s="1"/>
  <c r="M67" i="2"/>
  <c r="AL74" i="9" l="1"/>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AA61" i="8" s="1"/>
  <c r="O71" i="1"/>
  <c r="CC61" i="8"/>
  <c r="BW62" i="8"/>
  <c r="CC62" i="8" s="1"/>
  <c r="BS62" i="8"/>
  <c r="BN62" i="8"/>
  <c r="BO62" i="8"/>
  <c r="BL62" i="8"/>
  <c r="BM62" i="8"/>
  <c r="BJ62" i="8"/>
  <c r="BK62" i="8"/>
  <c r="BI62" i="8"/>
  <c r="AC62" i="10"/>
  <c r="X62" i="10" s="1"/>
  <c r="AM62" i="5"/>
  <c r="AN62" i="5"/>
  <c r="AH66" i="11"/>
  <c r="AK66" i="11"/>
  <c r="AS66" i="5"/>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AQ61" i="5"/>
  <c r="CZ65" i="5"/>
  <c r="CB62" i="8"/>
  <c r="CS62" i="8" s="1"/>
  <c r="CT62" i="8" s="1"/>
  <c r="CG62" i="8"/>
  <c r="CW62" i="8" s="1"/>
  <c r="BZ62" i="8"/>
  <c r="CA62" i="8"/>
  <c r="CQ62" i="8" s="1"/>
  <c r="BX62" i="8"/>
  <c r="BY62" i="8"/>
  <c r="AR61" i="5"/>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L75" i="9" l="1"/>
  <c r="BQ63" i="8"/>
  <c r="BR63" i="8"/>
  <c r="AD66" i="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P62" i="8"/>
  <c r="CU61" i="8"/>
  <c r="CV61" i="8" s="1"/>
  <c r="P61" i="8"/>
  <c r="F71" i="8"/>
  <c r="AO63" i="5"/>
  <c r="AV64" i="5"/>
  <c r="BP67" i="5" a="1"/>
  <c r="BP67" i="5" s="1"/>
  <c r="AG62" i="7"/>
  <c r="AI62" i="7" s="1"/>
  <c r="AA62" i="8" s="1"/>
  <c r="O72" i="1"/>
  <c r="CD62" i="8"/>
  <c r="CU62" i="8" s="1"/>
  <c r="CV62" i="8" s="1"/>
  <c r="BS63" i="8"/>
  <c r="BN63" i="8"/>
  <c r="BO63" i="8"/>
  <c r="BL63" i="8"/>
  <c r="BM63" i="8"/>
  <c r="BJ63" i="8"/>
  <c r="BK63" i="8"/>
  <c r="BI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AQ62" i="5"/>
  <c r="AR62" i="5"/>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O70" i="2"/>
  <c r="M69" i="2"/>
  <c r="J70" i="10"/>
  <c r="N70" i="5" s="1"/>
  <c r="P70" i="2"/>
  <c r="AL76" i="9" l="1"/>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AA63" i="8" s="1"/>
  <c r="O73" i="1"/>
  <c r="BW64" i="8"/>
  <c r="CD64" i="8" s="1"/>
  <c r="BS64" i="8"/>
  <c r="BN64" i="8"/>
  <c r="BO64" i="8"/>
  <c r="BL64" i="8"/>
  <c r="BM64" i="8"/>
  <c r="BJ64" i="8"/>
  <c r="BK64" i="8"/>
  <c r="BI64" i="8"/>
  <c r="AC64" i="10"/>
  <c r="X64" i="10" s="1"/>
  <c r="AM64" i="5"/>
  <c r="AN64" i="5"/>
  <c r="AH68" i="11"/>
  <c r="AS68" i="5"/>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Q63" i="5"/>
  <c r="J66" i="2"/>
  <c r="AR63" i="5"/>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O71" i="2"/>
  <c r="P71" i="2"/>
  <c r="M70" i="2"/>
  <c r="AL77" i="9" l="1"/>
  <c r="BQ65" i="8"/>
  <c r="BR65" i="8"/>
  <c r="AD68" i="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CC64" i="8"/>
  <c r="P64" i="8" s="1"/>
  <c r="AV66" i="5"/>
  <c r="AO65" i="5"/>
  <c r="BP69" i="5" a="1"/>
  <c r="BP69" i="5" s="1"/>
  <c r="AG64" i="7"/>
  <c r="AI64" i="7" s="1"/>
  <c r="AA64" i="8" s="1"/>
  <c r="O74" i="1"/>
  <c r="BS65" i="8"/>
  <c r="BN65" i="8"/>
  <c r="BO65" i="8"/>
  <c r="BL65" i="8"/>
  <c r="BM65" i="8"/>
  <c r="BJ65" i="8"/>
  <c r="BK65" i="8"/>
  <c r="BI65" i="8"/>
  <c r="AM65" i="5"/>
  <c r="AN65" i="5"/>
  <c r="AH69" i="11"/>
  <c r="AC65" i="10"/>
  <c r="X65" i="10" s="1"/>
  <c r="AS69" i="5"/>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AR64" i="5"/>
  <c r="AQ64" i="5"/>
  <c r="CO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L78" i="9" l="1"/>
  <c r="BQ66" i="8"/>
  <c r="BR66" i="8"/>
  <c r="AZ71" i="5"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U64" i="8"/>
  <c r="CV64" i="8" s="1"/>
  <c r="P65" i="8"/>
  <c r="CN65" i="8"/>
  <c r="CR65" i="8" s="1"/>
  <c r="F74" i="8"/>
  <c r="AO66" i="5"/>
  <c r="AV67" i="5"/>
  <c r="BP70" i="5" a="1"/>
  <c r="BP70" i="5" s="1"/>
  <c r="AG65" i="7"/>
  <c r="AI65" i="7" s="1"/>
  <c r="AA65" i="8" s="1"/>
  <c r="AG66" i="7"/>
  <c r="AI66" i="7" s="1"/>
  <c r="AA66" i="8" s="1"/>
  <c r="O75" i="1"/>
  <c r="BW66" i="8"/>
  <c r="CD66" i="8" s="1"/>
  <c r="BS66" i="8"/>
  <c r="BN66" i="8"/>
  <c r="BO66" i="8"/>
  <c r="BL66" i="8"/>
  <c r="BM66" i="8"/>
  <c r="BJ66" i="8"/>
  <c r="BK66" i="8"/>
  <c r="BI66" i="8"/>
  <c r="AC66" i="10"/>
  <c r="X66" i="10" s="1"/>
  <c r="AM66" i="5"/>
  <c r="AN66" i="5"/>
  <c r="AH70" i="11"/>
  <c r="AR65" i="5"/>
  <c r="AS70" i="5"/>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O73" i="2"/>
  <c r="AL79" i="9" l="1"/>
  <c r="BQ67" i="8"/>
  <c r="BR67" i="8"/>
  <c r="BK72" i="5"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J71" i="1"/>
  <c r="AS71" i="5"/>
  <c r="E75" i="8"/>
  <c r="CO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AQ66" i="5"/>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O74" i="2"/>
  <c r="M73" i="2"/>
  <c r="J74" i="10"/>
  <c r="N74" i="5" s="1"/>
  <c r="AL80" i="9" l="1"/>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AA67" i="8" s="1"/>
  <c r="O77" i="1"/>
  <c r="AH72" i="11"/>
  <c r="BW68" i="8"/>
  <c r="CC68" i="8" s="1"/>
  <c r="BS68" i="8"/>
  <c r="BN68" i="8"/>
  <c r="BO68" i="8"/>
  <c r="BL68" i="8"/>
  <c r="BM68" i="8"/>
  <c r="BJ68" i="8"/>
  <c r="BK68" i="8"/>
  <c r="BI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AQ67" i="5"/>
  <c r="CY67" i="8"/>
  <c r="E69" i="1"/>
  <c r="X69" i="8"/>
  <c r="DA69" i="8" s="1"/>
  <c r="BT69" i="5"/>
  <c r="AJ69" i="5"/>
  <c r="AP69" i="5" s="1"/>
  <c r="AC69" i="8"/>
  <c r="BP69" i="8" s="1"/>
  <c r="A69" i="11"/>
  <c r="AA68" i="11" s="1"/>
  <c r="AK68" i="1" s="1"/>
  <c r="AR67" i="5"/>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O75" i="2"/>
  <c r="M74" i="2"/>
  <c r="P75" i="2"/>
  <c r="AL81" i="9" l="1"/>
  <c r="BQ69" i="8"/>
  <c r="BR69" i="8"/>
  <c r="AD72" i="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AA68" i="8" s="1"/>
  <c r="O78" i="1"/>
  <c r="AH73" i="11"/>
  <c r="CD68" i="8"/>
  <c r="CU68" i="8" s="1"/>
  <c r="CV68" i="8" s="1"/>
  <c r="BS69" i="8"/>
  <c r="BN69" i="8"/>
  <c r="BO69" i="8"/>
  <c r="BL69" i="8"/>
  <c r="BM69" i="8"/>
  <c r="BJ69" i="8"/>
  <c r="BK69" i="8"/>
  <c r="BI69" i="8"/>
  <c r="AC69" i="10"/>
  <c r="X69" i="10" s="1"/>
  <c r="AM69" i="5"/>
  <c r="AN69" i="5"/>
  <c r="AS73" i="5"/>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AR68" i="5"/>
  <c r="CA69" i="8"/>
  <c r="CQ69" i="8" s="1"/>
  <c r="BZ69" i="8"/>
  <c r="BX69" i="8"/>
  <c r="CG69" i="8"/>
  <c r="CW69" i="8" s="1"/>
  <c r="BY69" i="8"/>
  <c r="CH69" i="8"/>
  <c r="CX69" i="8" s="1"/>
  <c r="N69" i="11"/>
  <c r="Z68" i="11"/>
  <c r="AC68" i="11"/>
  <c r="U68" i="8" s="1"/>
  <c r="AD68" i="11"/>
  <c r="AI68" i="1" s="1"/>
  <c r="Y68" i="11"/>
  <c r="AH68" i="1" s="1"/>
  <c r="AB68" i="11"/>
  <c r="Q68" i="8" s="1"/>
  <c r="AQ68" i="5"/>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O76" i="2"/>
  <c r="J76" i="10"/>
  <c r="N76" i="5" s="1"/>
  <c r="P76" i="2"/>
  <c r="M75" i="2"/>
  <c r="AL82" i="9" l="1"/>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A69" i="8" s="1"/>
  <c r="AG70" i="7"/>
  <c r="AI70" i="7" s="1"/>
  <c r="AA70" i="8" s="1"/>
  <c r="O79" i="1"/>
  <c r="BS70" i="8"/>
  <c r="BN70" i="8"/>
  <c r="BO70" i="8"/>
  <c r="BL70" i="8"/>
  <c r="BM70" i="8"/>
  <c r="BJ70" i="8"/>
  <c r="BK70" i="8"/>
  <c r="BI70" i="8"/>
  <c r="AC70" i="10"/>
  <c r="X70" i="10" s="1"/>
  <c r="AM70" i="5"/>
  <c r="AN70" i="5"/>
  <c r="BY70" i="8"/>
  <c r="BX70" i="8"/>
  <c r="CA70" i="8"/>
  <c r="CQ70" i="8" s="1"/>
  <c r="CG70" i="8"/>
  <c r="CW70" i="8" s="1"/>
  <c r="BZ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AQ69" i="5"/>
  <c r="AR69" i="5"/>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O77" i="2"/>
  <c r="M76" i="2"/>
  <c r="P77" i="2"/>
  <c r="B39" i="4"/>
  <c r="AL83" i="9" l="1"/>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CO70" i="8"/>
  <c r="CY70" i="8"/>
  <c r="AM75" i="1"/>
  <c r="AS75" i="5"/>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AQ70" i="5"/>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AR70" i="5"/>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O78" i="2"/>
  <c r="D88" i="4"/>
  <c r="J78" i="10"/>
  <c r="N78" i="5" s="1"/>
  <c r="P78" i="2"/>
  <c r="AL84" i="9" l="1"/>
  <c r="BQ72" i="8"/>
  <c r="BR72" i="8"/>
  <c r="AD75" i="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A72" i="8" s="1"/>
  <c r="AG71" i="7"/>
  <c r="AI71" i="7" s="1"/>
  <c r="AA71" i="8" s="1"/>
  <c r="O81" i="1"/>
  <c r="CD71" i="8"/>
  <c r="CU71" i="8" s="1"/>
  <c r="CV71" i="8" s="1"/>
  <c r="BW72" i="8"/>
  <c r="CC72" i="8" s="1"/>
  <c r="BS72" i="8"/>
  <c r="BN72" i="8"/>
  <c r="BO72" i="8"/>
  <c r="BL72" i="8"/>
  <c r="BM72" i="8"/>
  <c r="BJ72" i="8"/>
  <c r="BK72" i="8"/>
  <c r="BI72" i="8"/>
  <c r="AC72" i="10"/>
  <c r="X72" i="10" s="1"/>
  <c r="AM72" i="5"/>
  <c r="AN72" i="5"/>
  <c r="AS76" i="5"/>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AQ71" i="5"/>
  <c r="AR71" i="5"/>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O79" i="2"/>
  <c r="P79" i="2"/>
  <c r="AL85" i="9" l="1"/>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AA73" i="8" s="1"/>
  <c r="O82" i="1"/>
  <c r="CD72" i="8"/>
  <c r="CU72" i="8" s="1"/>
  <c r="CV72" i="8" s="1"/>
  <c r="BW73" i="8"/>
  <c r="CC73" i="8" s="1"/>
  <c r="BS73" i="8"/>
  <c r="BN73" i="8"/>
  <c r="BO73" i="8"/>
  <c r="BL73" i="8"/>
  <c r="BM73" i="8"/>
  <c r="BJ73" i="8"/>
  <c r="BK73" i="8"/>
  <c r="BI73" i="8"/>
  <c r="AC73" i="10"/>
  <c r="X73" i="10" s="1"/>
  <c r="AM73" i="5"/>
  <c r="AN73" i="5"/>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AL86" i="9" l="1"/>
  <c r="BQ74" i="8"/>
  <c r="BR74" i="8"/>
  <c r="BM79" i="5"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R73" i="5"/>
  <c r="AC75" i="8"/>
  <c r="BP75" i="8" s="1"/>
  <c r="AQ73" i="5"/>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O81" i="2"/>
  <c r="P81" i="2"/>
  <c r="J81" i="10"/>
  <c r="N81" i="5" s="1"/>
  <c r="M80" i="2"/>
  <c r="AL87" i="9" l="1"/>
  <c r="BQ75" i="8"/>
  <c r="BR75" i="8"/>
  <c r="AD78" i="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A74" i="8" s="1"/>
  <c r="AG75" i="7"/>
  <c r="AI75" i="7" s="1"/>
  <c r="AA75" i="8" s="1"/>
  <c r="O84" i="1"/>
  <c r="CD74" i="8"/>
  <c r="CU74" i="8" s="1"/>
  <c r="CV74" i="8" s="1"/>
  <c r="BW75" i="8"/>
  <c r="CC75" i="8" s="1"/>
  <c r="BS75" i="8"/>
  <c r="BN75" i="8"/>
  <c r="BO75" i="8"/>
  <c r="BL75" i="8"/>
  <c r="BM75" i="8"/>
  <c r="BJ75" i="8"/>
  <c r="BK75" i="8"/>
  <c r="BI75" i="8"/>
  <c r="AC75" i="10"/>
  <c r="X75" i="10" s="1"/>
  <c r="AN75" i="5"/>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AQ74" i="5"/>
  <c r="CO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L88" i="9" l="1"/>
  <c r="I51" i="4"/>
  <c r="I50" i="4"/>
  <c r="J50" i="4" s="1"/>
  <c r="BQ76" i="8"/>
  <c r="BR76" i="8"/>
  <c r="F67" i="4"/>
  <c r="D78" i="4" s="1"/>
  <c r="AD79" i="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AR75" i="5"/>
  <c r="CY75" i="8"/>
  <c r="CO75" i="8"/>
  <c r="CP75" i="8" s="1"/>
  <c r="AQ75" i="5"/>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C77" i="4"/>
  <c r="D76" i="4"/>
  <c r="D81" i="4"/>
  <c r="B71" i="14"/>
  <c r="N64" i="1"/>
  <c r="S81" i="2"/>
  <c r="N82" i="2"/>
  <c r="R82" i="2"/>
  <c r="Q81" i="2"/>
  <c r="O83" i="2"/>
  <c r="P83" i="2"/>
  <c r="J83" i="10"/>
  <c r="N83" i="5" s="1"/>
  <c r="M82" i="2"/>
  <c r="AL89" i="9" l="1"/>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AA76" i="8" s="1"/>
  <c r="O86" i="1"/>
  <c r="B25" i="4"/>
  <c r="C39" i="4" s="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24" i="4" s="1"/>
  <c r="AQ76" i="5"/>
  <c r="I61" i="4" s="1"/>
  <c r="CO76" i="8"/>
  <c r="CY76" i="8"/>
  <c r="AR76" i="5"/>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O84" i="2"/>
  <c r="M83" i="2"/>
  <c r="AL90" i="9" l="1"/>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A78" i="8" s="1"/>
  <c r="AG77" i="7"/>
  <c r="AI77" i="7" s="1"/>
  <c r="AA77" i="8" s="1"/>
  <c r="O87" i="1"/>
  <c r="F39" i="4"/>
  <c r="F37" i="4"/>
  <c r="F38"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L91" i="9" l="1"/>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O86" i="2"/>
  <c r="J86" i="10"/>
  <c r="N86" i="5" s="1"/>
  <c r="M85" i="2"/>
  <c r="AL92" i="9" l="1"/>
  <c r="BQ80" i="8"/>
  <c r="BR80" i="8"/>
  <c r="H40" i="4"/>
  <c r="B57" i="4" s="1"/>
  <c r="BC85" i="5"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DC77" i="8"/>
  <c r="G77" i="1" s="1"/>
  <c r="N77" i="8" s="1"/>
  <c r="V83" i="2"/>
  <c r="CP78" i="8"/>
  <c r="P79" i="8"/>
  <c r="CU78" i="8"/>
  <c r="CV78" i="8" s="1"/>
  <c r="P78" i="8"/>
  <c r="F88" i="8"/>
  <c r="AO80" i="5"/>
  <c r="AV81" i="5"/>
  <c r="BP84" i="5" a="1"/>
  <c r="BP84" i="5" s="1"/>
  <c r="AG79" i="7"/>
  <c r="AI79" i="7" s="1"/>
  <c r="AA79" i="8"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J49" i="4"/>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O87" i="2"/>
  <c r="AL93" i="9" l="1"/>
  <c r="BQ81" i="8"/>
  <c r="BR81" i="8"/>
  <c r="AD84" i="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DC78" i="8"/>
  <c r="G78" i="1" s="1"/>
  <c r="N78" i="8" s="1"/>
  <c r="V84" i="2"/>
  <c r="P80" i="8"/>
  <c r="F89" i="8"/>
  <c r="AO81" i="5"/>
  <c r="AV82" i="5"/>
  <c r="BP85" i="5" a="1"/>
  <c r="BP85" i="5" s="1"/>
  <c r="AG80" i="7"/>
  <c r="AI80" i="7" s="1"/>
  <c r="AA80" i="8"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O88" i="2"/>
  <c r="AL94" i="9" l="1"/>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AA81" i="8"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O89" i="2"/>
  <c r="M88" i="2"/>
  <c r="AL95" i="9" l="1"/>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AA82" i="8"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L96" i="9" l="1"/>
  <c r="BQ84" i="8"/>
  <c r="BR84" i="8"/>
  <c r="AD87" i="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AA83" i="8"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O91" i="2"/>
  <c r="AL97" i="9" l="1"/>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A85" i="8" s="1"/>
  <c r="AG84" i="7"/>
  <c r="AI84" i="7" s="1"/>
  <c r="AA84" i="8"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L98" i="9" l="1"/>
  <c r="BQ86" i="8"/>
  <c r="BR86" i="8"/>
  <c r="AD89" i="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O93" i="2"/>
  <c r="M92" i="2"/>
  <c r="J93" i="10"/>
  <c r="N93" i="5" s="1"/>
  <c r="AL99" i="9" l="1"/>
  <c r="BQ87" i="8"/>
  <c r="BR87" i="8"/>
  <c r="AD90" i="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A86" i="8" s="1"/>
  <c r="AG87" i="7"/>
  <c r="AI87" i="7" s="1"/>
  <c r="AA87" i="8"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O94" i="2"/>
  <c r="P94" i="2"/>
  <c r="AL100" i="9" l="1"/>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O95" i="2"/>
  <c r="AL101" i="9" l="1"/>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AA88" i="8"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O96" i="2"/>
  <c r="J96" i="10"/>
  <c r="N96" i="5" s="1"/>
  <c r="P96" i="2"/>
  <c r="M95" i="2"/>
  <c r="AL102" i="9" l="1"/>
  <c r="BQ90" i="8"/>
  <c r="BR90" i="8"/>
  <c r="BF95" i="5"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AA89" i="8"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O97" i="2"/>
  <c r="AL103" i="9" l="1"/>
  <c r="BQ91" i="8"/>
  <c r="BR91" i="8"/>
  <c r="AD94" i="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U89" i="8"/>
  <c r="CV89" i="8" s="1"/>
  <c r="P89" i="8"/>
  <c r="F99" i="8"/>
  <c r="AO91" i="5"/>
  <c r="AV92" i="5"/>
  <c r="BP95" i="5" a="1"/>
  <c r="BP95" i="5" s="1"/>
  <c r="AG91" i="7"/>
  <c r="AI91" i="7" s="1"/>
  <c r="AA91" i="8" s="1"/>
  <c r="AG90" i="7"/>
  <c r="AI90" i="7" s="1"/>
  <c r="AA90" i="8"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BM97" i="5" s="1" a="1"/>
  <c r="BM97" i="5" s="1"/>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O98" i="2"/>
  <c r="M97" i="2"/>
  <c r="J98" i="10"/>
  <c r="N98" i="5" s="1"/>
  <c r="P98" i="2"/>
  <c r="AL104" i="9" l="1"/>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O99" i="2"/>
  <c r="AL105" i="9" l="1"/>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P91" i="8"/>
  <c r="DC91" i="8" s="1"/>
  <c r="G91" i="1" s="1"/>
  <c r="N91" i="8" s="1"/>
  <c r="DC90" i="8"/>
  <c r="G90" i="1" s="1"/>
  <c r="N90" i="8" s="1"/>
  <c r="F101" i="8"/>
  <c r="AO93" i="5"/>
  <c r="AV94" i="5"/>
  <c r="BP97" i="5" a="1"/>
  <c r="BP97" i="5" s="1"/>
  <c r="B94" i="7"/>
  <c r="AE94" i="7" s="1"/>
  <c r="AF94" i="7" s="1"/>
  <c r="AG93" i="7"/>
  <c r="AI93" i="7" s="1"/>
  <c r="AA93" i="8" s="1"/>
  <c r="AG92" i="7"/>
  <c r="AI92" i="7" s="1"/>
  <c r="AA92" i="8"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L106" i="9" l="1"/>
  <c r="BQ94" i="8"/>
  <c r="BR94" i="8"/>
  <c r="AD97" i="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AA94" i="8"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L107" i="9" l="1"/>
  <c r="BQ95" i="8"/>
  <c r="BR95" i="8"/>
  <c r="AD98" i="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L108" i="9" l="1"/>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DC93" i="8"/>
  <c r="G93" i="1" s="1"/>
  <c r="N93" i="8" s="1"/>
  <c r="CP94" i="8"/>
  <c r="P95" i="8"/>
  <c r="F104" i="8"/>
  <c r="AV97" i="5"/>
  <c r="AC96" i="10"/>
  <c r="X96" i="10" s="1"/>
  <c r="AO96" i="5"/>
  <c r="BP100" i="5" a="1"/>
  <c r="BP100" i="5" s="1"/>
  <c r="AG95" i="7"/>
  <c r="AI95" i="7" s="1"/>
  <c r="AA95" i="8"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AL109" i="9" l="1"/>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A97" i="8" s="1"/>
  <c r="AG96" i="7"/>
  <c r="AI96" i="7" s="1"/>
  <c r="AA96" i="8"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L110" i="9" l="1"/>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L111" i="9" l="1"/>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AA98" i="8"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L112" i="9" l="1"/>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A100" i="8" s="1"/>
  <c r="AG99" i="7"/>
  <c r="AI99" i="7" s="1"/>
  <c r="AA99" i="8"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O107" i="2"/>
  <c r="AL113" i="9" l="1"/>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L114" i="9" l="1"/>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A101" i="8" s="1"/>
  <c r="AG102" i="7"/>
  <c r="AI102" i="7" s="1"/>
  <c r="AA102" i="8"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L115" i="9" l="1"/>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O110" i="2"/>
  <c r="J110" i="10"/>
  <c r="N110" i="5" s="1"/>
  <c r="AL116" i="9" l="1"/>
  <c r="BQ104" i="8"/>
  <c r="BR104" i="8"/>
  <c r="AD107" i="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H104" i="8"/>
  <c r="CX104" i="8" s="1"/>
  <c r="CP102" i="8"/>
  <c r="P103" i="8"/>
  <c r="CU102" i="8"/>
  <c r="CV102" i="8" s="1"/>
  <c r="P102" i="8"/>
  <c r="F112" i="8"/>
  <c r="AO104" i="5"/>
  <c r="AV105" i="5"/>
  <c r="BP108" i="5" a="1"/>
  <c r="BP108" i="5" s="1"/>
  <c r="AG103" i="7"/>
  <c r="AI103" i="7" s="1"/>
  <c r="AA103" i="8"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O111" i="2"/>
  <c r="P111" i="2"/>
  <c r="J111" i="10"/>
  <c r="N111" i="5" s="1"/>
  <c r="M110" i="2"/>
  <c r="AL117" i="9" l="1"/>
  <c r="BQ105" i="8"/>
  <c r="BR105" i="8"/>
  <c r="AD108" i="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A105" i="8" s="1"/>
  <c r="AG104" i="7"/>
  <c r="AI104" i="7" s="1"/>
  <c r="AA104" i="8"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O112" i="2"/>
  <c r="AL118" i="9" l="1"/>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AA106" i="8"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O113" i="2"/>
  <c r="P113" i="2"/>
  <c r="J113" i="10"/>
  <c r="N113" i="5" s="1"/>
  <c r="AL119" i="9" l="1"/>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AA107" i="8"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L120" i="9" l="1"/>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AA108" i="8"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L121" i="9" l="1"/>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O116" i="2"/>
  <c r="AL122" i="9" l="1"/>
  <c r="BQ110" i="8"/>
  <c r="BR110" i="8"/>
  <c r="AD113" i="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AA109" i="8"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O117" i="2"/>
  <c r="M116" i="2"/>
  <c r="AL123" i="9" l="1"/>
  <c r="BQ111" i="8"/>
  <c r="BR111" i="8"/>
  <c r="AD114" i="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AA110" i="8"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O118" i="2"/>
  <c r="AL124" i="9" l="1"/>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A112" i="8" s="1"/>
  <c r="AG111" i="7"/>
  <c r="AI111" i="7" s="1"/>
  <c r="AA111" i="8"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O119" i="2"/>
  <c r="P119" i="2"/>
  <c r="J119" i="10"/>
  <c r="N119" i="5" s="1"/>
  <c r="AL125" i="9" l="1"/>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O120" i="2"/>
  <c r="P120" i="2"/>
  <c r="M119" i="2"/>
  <c r="AL126" i="9" l="1"/>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AA113" i="8"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L127" i="9" l="1"/>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A114" i="8" s="1"/>
  <c r="AG115" i="7"/>
  <c r="AI115" i="7" s="1"/>
  <c r="AA115" i="8"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O122" i="2"/>
  <c r="J122" i="10"/>
  <c r="N122" i="5" s="1"/>
  <c r="M121" i="2"/>
  <c r="P122" i="2"/>
  <c r="AL128" i="9" l="1"/>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AA116" i="8"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AL129" i="9" l="1"/>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AA117" i="8"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O124" i="2"/>
  <c r="P124" i="2"/>
  <c r="J124" i="10"/>
  <c r="N124" i="5" s="1"/>
  <c r="AL130" i="9" l="1"/>
  <c r="BQ118" i="8"/>
  <c r="BR118" i="8"/>
  <c r="AD121" i="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O125" i="2"/>
  <c r="P125" i="2"/>
  <c r="M124" i="2"/>
  <c r="AL131" i="9" l="1"/>
  <c r="BQ119" i="8"/>
  <c r="BR119" i="8"/>
  <c r="AD122" i="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A118" i="8" s="1"/>
  <c r="AG119" i="7"/>
  <c r="AI119" i="7" s="1"/>
  <c r="AA119" i="8"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O126" i="2"/>
  <c r="P126" i="2"/>
  <c r="M125" i="2"/>
  <c r="J126" i="10"/>
  <c r="N126" i="5" s="1"/>
  <c r="AL132" i="9" l="1"/>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AA120" i="8"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L133" i="9" l="1"/>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AA121" i="8"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L134" i="9" l="1"/>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O129" i="2"/>
  <c r="AL135" i="9" l="1"/>
  <c r="BQ123" i="8"/>
  <c r="BR123" i="8"/>
  <c r="CQ128" i="5"/>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AA122" i="8"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O130" i="2"/>
  <c r="P130" i="2"/>
  <c r="AL136" i="9" l="1"/>
  <c r="BQ124" i="8"/>
  <c r="BR124" i="8"/>
  <c r="AD127" i="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A124" i="8" s="1"/>
  <c r="AG123" i="7"/>
  <c r="AI123" i="7" s="1"/>
  <c r="AA123" i="8"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Q125" i="8" l="1"/>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Q126" i="8" l="1"/>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AA125" i="8"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O133" i="2"/>
  <c r="M132" i="2"/>
  <c r="BQ127" i="8" l="1"/>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AA126" i="8"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O134" i="2"/>
  <c r="BQ128" i="8" l="1"/>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AA127" i="8"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O135" i="2"/>
  <c r="P135" i="2"/>
  <c r="J135" i="10"/>
  <c r="N135" i="5" s="1"/>
  <c r="M134" i="2"/>
  <c r="BQ129" i="8" l="1"/>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AA128" i="8" s="1"/>
  <c r="CD128" i="8"/>
  <c r="CU128" i="8" s="1"/>
  <c r="CV128" i="8" s="1"/>
  <c r="BW129" i="8"/>
  <c r="CD129" i="8" s="1"/>
  <c r="BS129" i="8"/>
  <c r="BN129" i="8"/>
  <c r="BO129" i="8"/>
  <c r="BL129" i="8"/>
  <c r="BM129" i="8"/>
  <c r="BJ129" i="8"/>
  <c r="BK129" i="8"/>
  <c r="BI129" i="8"/>
  <c r="AC129" i="10"/>
  <c r="X129" i="10" s="1"/>
  <c r="AM129" i="5"/>
  <c r="AN129" i="5"/>
  <c r="AH133" i="11"/>
  <c r="AF139" i="8"/>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O136" i="2"/>
  <c r="J136" i="10"/>
  <c r="N136" i="5" s="1"/>
  <c r="P136" i="2"/>
  <c r="BQ130" i="8" l="1"/>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AA129" i="8"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BQ131" i="8" l="1"/>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AA130" i="8"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AA131" i="8"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A133" i="8" s="1"/>
  <c r="AG132" i="7"/>
  <c r="AI132" i="7" s="1"/>
  <c r="AA132" i="8"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DG136" i="5" s="1" a="1"/>
  <c r="DG136" i="5" s="1"/>
  <c r="N122" i="1"/>
  <c r="BQ134" i="8" l="1"/>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AA134" i="8"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A136" i="8" s="1"/>
  <c r="AG135" i="7"/>
  <c r="AI135" i="7" s="1"/>
  <c r="AA135" i="8"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A52" i="8" s="1"/>
  <c r="AH52" i="7"/>
  <c r="AI46" i="7"/>
  <c r="AA46" i="8" s="1"/>
  <c r="AH46" i="7"/>
  <c r="AI53" i="7"/>
  <c r="AA53" i="8" s="1"/>
  <c r="AH53" i="7"/>
  <c r="AI51" i="7"/>
  <c r="AA51" i="8" s="1"/>
  <c r="AH51" i="7"/>
  <c r="AI59" i="7"/>
  <c r="AA59" i="8" s="1"/>
  <c r="AH59" i="7"/>
  <c r="AI45" i="7"/>
  <c r="AA45" i="8" s="1"/>
  <c r="AH45" i="7"/>
  <c r="AI56" i="7"/>
  <c r="AA56" i="8" s="1"/>
  <c r="AH56" i="7"/>
  <c r="AI58" i="7"/>
  <c r="AA58" i="8" s="1"/>
  <c r="AH58" i="7"/>
  <c r="AI49" i="7"/>
  <c r="AA49" i="8" s="1"/>
  <c r="AH49" i="7"/>
  <c r="AI57" i="7"/>
  <c r="AA57" i="8" s="1"/>
  <c r="AH57" i="7"/>
  <c r="AI48" i="7"/>
  <c r="AA48" i="8" s="1"/>
  <c r="AH48" i="7"/>
  <c r="AH4" i="7"/>
  <c r="AI54" i="7"/>
  <c r="AA54" i="8" s="1"/>
  <c r="AH54" i="7"/>
  <c r="AI55" i="7"/>
  <c r="AA55" i="8" s="1"/>
  <c r="AH55" i="7"/>
  <c r="AI44" i="7"/>
  <c r="AA44" i="8" s="1"/>
  <c r="AH44" i="7"/>
  <c r="AI50" i="7"/>
  <c r="AA50" i="8" s="1"/>
  <c r="AH50" i="7"/>
  <c r="AI47" i="7"/>
  <c r="AA47" i="8" s="1"/>
  <c r="AH47" i="7"/>
  <c r="N125" i="1"/>
  <c r="AH121" i="7"/>
  <c r="P136" i="8" l="1"/>
  <c r="CN136" i="8"/>
  <c r="CR136" i="8" s="1"/>
  <c r="CD136" i="8"/>
  <c r="CU136" i="8" s="1"/>
  <c r="CV136" i="8" s="1"/>
  <c r="I62" i="4"/>
  <c r="CP135" i="8"/>
  <c r="DC135" i="8" s="1"/>
  <c r="G135" i="1" s="1"/>
  <c r="N135" i="8" s="1"/>
  <c r="CY136" i="8"/>
  <c r="AQ136" i="5"/>
  <c r="AR136" i="5"/>
  <c r="N126" i="1"/>
  <c r="AH122" i="7"/>
  <c r="CP136" i="8" l="1"/>
  <c r="DC136" i="8"/>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Q4" i="8" s="1"/>
  <c r="D36" i="4"/>
  <c r="R76" i="8"/>
  <c r="BM136" i="1"/>
  <c r="P4" i="7" l="1"/>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H6" i="11" l="1"/>
  <c r="AH28" i="5"/>
  <c r="BU28" i="5"/>
  <c r="B28" i="2"/>
  <c r="B28" i="1"/>
  <c r="BG28" i="1" s="1"/>
  <c r="V9" i="1"/>
  <c r="K10" i="1" s="1"/>
  <c r="AR10" i="1" s="1"/>
  <c r="BL9" i="1"/>
  <c r="C9" i="9"/>
  <c r="AV6" i="8"/>
  <c r="E6" i="2"/>
  <c r="L6" i="2" s="1"/>
  <c r="AB6" i="7"/>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H7" i="11" l="1"/>
  <c r="BL15" i="1"/>
  <c r="C15" i="9"/>
  <c r="V15" i="1"/>
  <c r="K16" i="1" s="1"/>
  <c r="AR16" i="1" s="1"/>
  <c r="E7" i="2"/>
  <c r="L7" i="2" s="1"/>
  <c r="AV7" i="8"/>
  <c r="AB7" i="7"/>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H8" i="11" l="1"/>
  <c r="AV8" i="8"/>
  <c r="AB8" i="7"/>
  <c r="E8" i="2"/>
  <c r="L8" i="2" s="1"/>
  <c r="BL21" i="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H9" i="11" l="1"/>
  <c r="E9" i="2"/>
  <c r="L9" i="2" s="1"/>
  <c r="AB9" i="7"/>
  <c r="AV9" i="8"/>
  <c r="C27" i="9"/>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H10" i="11" l="1"/>
  <c r="E10" i="2"/>
  <c r="L10" i="2" s="1"/>
  <c r="AB10" i="7"/>
  <c r="AV10" i="8"/>
  <c r="BL33" i="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11" i="8" l="1"/>
  <c r="BL38" i="1"/>
  <c r="V38" i="1"/>
  <c r="K39" i="1" s="1"/>
  <c r="AR39" i="1" s="1"/>
  <c r="C38" i="9"/>
  <c r="H11" i="11" l="1"/>
  <c r="D11" i="2"/>
  <c r="AB11" i="7"/>
  <c r="AV11" i="8"/>
  <c r="E11" i="2"/>
  <c r="L11" i="2" s="1"/>
  <c r="BL39" i="1"/>
  <c r="V39" i="1"/>
  <c r="K40" i="1" s="1"/>
  <c r="AR40" i="1" s="1"/>
  <c r="C39" i="9"/>
  <c r="U11" i="2" l="1"/>
  <c r="BL40" i="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B12" i="8" l="1"/>
  <c r="C45" i="9"/>
  <c r="BL45" i="1"/>
  <c r="V45" i="1"/>
  <c r="K46" i="1" s="1"/>
  <c r="AR46" i="1" s="1"/>
  <c r="D12" i="2" l="1"/>
  <c r="H12" i="11"/>
  <c r="E12" i="2"/>
  <c r="L12" i="2" s="1"/>
  <c r="AB12" i="7"/>
  <c r="AV12" i="8"/>
  <c r="BL46" i="1"/>
  <c r="V46" i="1"/>
  <c r="K47" i="1" s="1"/>
  <c r="AR47" i="1" s="1"/>
  <c r="C46" i="9"/>
  <c r="U12" i="2" l="1"/>
  <c r="V47" i="1"/>
  <c r="K48" i="1" s="1"/>
  <c r="AR48" i="1" s="1"/>
  <c r="BL47" i="1"/>
  <c r="C47" i="9"/>
  <c r="BL48" i="1" l="1"/>
  <c r="C48" i="9"/>
  <c r="V48" i="1"/>
  <c r="K49" i="1" s="1"/>
  <c r="AR49" i="1" s="1"/>
  <c r="V49" i="1" l="1"/>
  <c r="K50" i="1" s="1"/>
  <c r="AR50" i="1" s="1"/>
  <c r="C49" i="9"/>
  <c r="BL49" i="1"/>
  <c r="B13" i="8" l="1"/>
  <c r="C50" i="9"/>
  <c r="BL50" i="1"/>
  <c r="V50" i="1"/>
  <c r="K51" i="1" s="1"/>
  <c r="AR51" i="1" s="1"/>
  <c r="H13" i="11" l="1"/>
  <c r="AV13" i="8"/>
  <c r="D13" i="2"/>
  <c r="E13" i="2"/>
  <c r="L13" i="2" s="1"/>
  <c r="AB13" i="7"/>
  <c r="BL51" i="1"/>
  <c r="V51" i="1"/>
  <c r="K52" i="1" s="1"/>
  <c r="AR52" i="1" s="1"/>
  <c r="C51" i="9"/>
  <c r="U13" i="2" l="1"/>
  <c r="C52" i="9"/>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H14" i="11" l="1"/>
  <c r="E14" i="2"/>
  <c r="L14" i="2" s="1"/>
  <c r="AB14" i="7"/>
  <c r="AV14" i="8"/>
  <c r="BL58" i="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B15" i="8" l="1"/>
  <c r="C63" i="9"/>
  <c r="V63" i="1"/>
  <c r="K64" i="1" s="1"/>
  <c r="AR64" i="1" s="1"/>
  <c r="BL63" i="1"/>
  <c r="D15" i="2" l="1"/>
  <c r="H15" i="11"/>
  <c r="AB15" i="7"/>
  <c r="E15" i="2"/>
  <c r="L15" i="2" s="1"/>
  <c r="AV15" i="8"/>
  <c r="V64" i="1"/>
  <c r="K65" i="1" s="1"/>
  <c r="AR65" i="1" s="1"/>
  <c r="BL64" i="1"/>
  <c r="C64" i="9"/>
  <c r="U15" i="2" l="1"/>
  <c r="BL65" i="1"/>
  <c r="C65" i="9"/>
  <c r="V65" i="1"/>
  <c r="K66" i="1" s="1"/>
  <c r="AR66" i="1" s="1"/>
  <c r="V66" i="1" l="1"/>
  <c r="K67" i="1" s="1"/>
  <c r="AR67" i="1" s="1"/>
  <c r="C66" i="9"/>
  <c r="BL66" i="1"/>
  <c r="V67" i="1" l="1"/>
  <c r="K68" i="1" s="1"/>
  <c r="AR68" i="1" s="1"/>
  <c r="BL67" i="1"/>
  <c r="C67" i="9"/>
  <c r="V68" i="1" l="1"/>
  <c r="K69" i="1" s="1"/>
  <c r="AR69" i="1" s="1"/>
  <c r="C68" i="9"/>
  <c r="BL68" i="1"/>
  <c r="B16" i="8" l="1"/>
  <c r="V69" i="1"/>
  <c r="K70" i="1" s="1"/>
  <c r="AR70" i="1" s="1"/>
  <c r="C69" i="9"/>
  <c r="BL69" i="1"/>
  <c r="H16" i="11" l="1"/>
  <c r="E16" i="2"/>
  <c r="L16" i="2" s="1"/>
  <c r="D16" i="2"/>
  <c r="U16" i="2" s="1"/>
  <c r="AV16" i="8"/>
  <c r="AB16" i="7"/>
  <c r="BL70" i="1"/>
  <c r="V70" i="1"/>
  <c r="K71" i="1" s="1"/>
  <c r="AR71" i="1" s="1"/>
  <c r="C70" i="9"/>
  <c r="C71" i="9" l="1"/>
  <c r="BL71" i="1"/>
  <c r="V71" i="1"/>
  <c r="K72" i="1" s="1"/>
  <c r="AR72" i="1" s="1"/>
  <c r="C72" i="9" l="1"/>
  <c r="BL72" i="1"/>
  <c r="V72" i="1"/>
  <c r="K73" i="1" s="1"/>
  <c r="AR73" i="1" s="1"/>
  <c r="V73" i="1" l="1"/>
  <c r="K74" i="1" s="1"/>
  <c r="AR74" i="1" s="1"/>
  <c r="BL73" i="1"/>
  <c r="C73" i="9"/>
  <c r="H17" i="11" l="1"/>
  <c r="AB17" i="7"/>
  <c r="AV17" i="8"/>
  <c r="E17" i="2"/>
  <c r="L17" i="2" s="1"/>
  <c r="C74" i="9"/>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H18" i="11" l="1"/>
  <c r="V79" i="1"/>
  <c r="K80" i="1" s="1"/>
  <c r="AR80" i="1" s="1"/>
  <c r="BL79" i="1"/>
  <c r="C79" i="9"/>
  <c r="AV18" i="8"/>
  <c r="AB18" i="7"/>
  <c r="E18" i="2"/>
  <c r="L18" i="2" s="1"/>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H19" i="11" l="1"/>
  <c r="AB19" i="7"/>
  <c r="AV19" i="8"/>
  <c r="E19" i="2"/>
  <c r="L19" i="2" s="1"/>
  <c r="C85" i="9"/>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H20" i="11" l="1"/>
  <c r="V91" i="1"/>
  <c r="K92" i="1" s="1"/>
  <c r="AR92" i="1" s="1"/>
  <c r="C91" i="9"/>
  <c r="BL91" i="1"/>
  <c r="AV20" i="8"/>
  <c r="AB20" i="7"/>
  <c r="E20" i="2"/>
  <c r="L20" i="2" s="1"/>
  <c r="C92" i="9" l="1"/>
  <c r="V92" i="1"/>
  <c r="K93" i="1" s="1"/>
  <c r="AR93" i="1" s="1"/>
  <c r="BL92" i="1"/>
  <c r="BL93" i="1" l="1"/>
  <c r="C93" i="9"/>
  <c r="V93" i="1"/>
  <c r="K94" i="1" s="1"/>
  <c r="AR94" i="1" s="1"/>
  <c r="C94" i="9" l="1"/>
  <c r="V94" i="1"/>
  <c r="K95" i="1" s="1"/>
  <c r="AR95" i="1" s="1"/>
  <c r="BL94" i="1"/>
  <c r="C95" i="9" l="1"/>
  <c r="V95" i="1"/>
  <c r="K96" i="1" s="1"/>
  <c r="AR96" i="1" s="1"/>
  <c r="BL95" i="1"/>
  <c r="H21" i="11" l="1"/>
  <c r="AV21" i="8"/>
  <c r="AB21" i="7"/>
  <c r="E21" i="2"/>
  <c r="L21" i="2" s="1"/>
  <c r="C96" i="9"/>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H22" i="11" l="1"/>
  <c r="BL102" i="1"/>
  <c r="V102" i="1"/>
  <c r="K103" i="1" s="1"/>
  <c r="AR103" i="1" s="1"/>
  <c r="C102" i="9"/>
  <c r="AV22" i="8"/>
  <c r="AB22" i="7"/>
  <c r="E22" i="2"/>
  <c r="L22" i="2" s="1"/>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H23" i="11" l="1"/>
  <c r="C108" i="9"/>
  <c r="V108" i="1"/>
  <c r="K109" i="1" s="1"/>
  <c r="AR109" i="1" s="1"/>
  <c r="BL108" i="1"/>
  <c r="AB23" i="7"/>
  <c r="AV23" i="8"/>
  <c r="E23" i="2"/>
  <c r="L23" i="2" s="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H24" i="11" l="1"/>
  <c r="BL114" i="1"/>
  <c r="V114" i="1"/>
  <c r="K115" i="1" s="1"/>
  <c r="AR115" i="1" s="1"/>
  <c r="C114" i="9"/>
  <c r="E24" i="2"/>
  <c r="L24" i="2" s="1"/>
  <c r="AV24" i="8"/>
  <c r="AB24" i="7"/>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H25" i="11" l="1"/>
  <c r="BL120" i="1"/>
  <c r="V120" i="1"/>
  <c r="K121" i="1" s="1"/>
  <c r="AR121" i="1" s="1"/>
  <c r="C120" i="9"/>
  <c r="AV25" i="8"/>
  <c r="AB25" i="7"/>
  <c r="E25" i="2"/>
  <c r="L25" i="2" s="1"/>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H26" i="11" l="1"/>
  <c r="AV26" i="8"/>
  <c r="AB26" i="7"/>
  <c r="E26" i="2"/>
  <c r="L26" i="2" s="1"/>
  <c r="V126" i="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H27" i="11" l="1"/>
  <c r="BL132" i="1"/>
  <c r="C132" i="9"/>
  <c r="V132" i="1"/>
  <c r="K133" i="1" s="1"/>
  <c r="AR133" i="1" s="1"/>
  <c r="AV27" i="8"/>
  <c r="AB27" i="7"/>
  <c r="E27" i="2"/>
  <c r="L27" i="2" s="1"/>
  <c r="V133" i="1" l="1"/>
  <c r="K134" i="1" s="1"/>
  <c r="AR134" i="1" s="1"/>
  <c r="BL133" i="1"/>
  <c r="C133" i="9"/>
  <c r="BL134" i="1" l="1"/>
  <c r="C134" i="9"/>
  <c r="V134" i="1"/>
  <c r="K135" i="1" s="1"/>
  <c r="AR135" i="1" s="1"/>
  <c r="V135" i="1" l="1"/>
  <c r="K136" i="1" s="1"/>
  <c r="AR136" i="1" s="1"/>
  <c r="C135" i="9"/>
  <c r="BL135" i="1"/>
  <c r="C136" i="9" l="1"/>
  <c r="BL136" i="1"/>
  <c r="V136" i="1"/>
  <c r="H28" i="11" l="1"/>
  <c r="AV28" i="8"/>
  <c r="AB28" i="7"/>
  <c r="E28" i="2"/>
  <c r="L28" i="2" s="1"/>
  <c r="H29" i="11" l="1"/>
  <c r="AB29" i="7"/>
  <c r="E29" i="2"/>
  <c r="L29" i="2" s="1"/>
  <c r="AV29" i="8"/>
  <c r="H30" i="11" l="1"/>
  <c r="AB30" i="7"/>
  <c r="E30" i="2"/>
  <c r="L30" i="2" s="1"/>
  <c r="AV30" i="8"/>
  <c r="H31" i="11" l="1"/>
  <c r="AV31" i="8"/>
  <c r="AB31" i="7"/>
  <c r="E31" i="2"/>
  <c r="L31" i="2" s="1"/>
  <c r="H32" i="11" l="1"/>
  <c r="AV32" i="8"/>
  <c r="AB32" i="7"/>
  <c r="E32" i="2"/>
  <c r="L32" i="2" s="1"/>
  <c r="H33" i="11" l="1"/>
  <c r="AB33" i="7"/>
  <c r="AV33" i="8"/>
  <c r="E33" i="2"/>
  <c r="L33" i="2" s="1"/>
  <c r="H34" i="11" l="1"/>
  <c r="AV34" i="8"/>
  <c r="AB34" i="7"/>
  <c r="E34" i="2"/>
  <c r="L34" i="2" s="1"/>
  <c r="H35" i="11" l="1"/>
  <c r="AV35" i="8"/>
  <c r="E35" i="2"/>
  <c r="L35" i="2" s="1"/>
  <c r="AB35" i="7"/>
  <c r="H36" i="11" l="1"/>
  <c r="AV36" i="8"/>
  <c r="AB36" i="7"/>
  <c r="E36" i="2"/>
  <c r="L36" i="2" s="1"/>
  <c r="H37" i="11" l="1"/>
  <c r="AV37" i="8"/>
  <c r="AB37" i="7"/>
  <c r="E37" i="2"/>
  <c r="L37" i="2" s="1"/>
  <c r="H38" i="11" l="1"/>
  <c r="AV38" i="8"/>
  <c r="AB38" i="7"/>
  <c r="E38" i="2"/>
  <c r="L38" i="2" s="1"/>
  <c r="H39" i="11" l="1"/>
  <c r="AV39" i="8"/>
  <c r="AB39" i="7"/>
  <c r="E39" i="2"/>
  <c r="L39" i="2" s="1"/>
  <c r="H40" i="11" l="1"/>
  <c r="AV40" i="8"/>
  <c r="AB40" i="7"/>
  <c r="E40" i="2"/>
  <c r="L40" i="2" s="1"/>
  <c r="H41" i="11" l="1"/>
  <c r="E41" i="2"/>
  <c r="L41" i="2" s="1"/>
  <c r="AB41" i="7"/>
  <c r="AV41" i="8"/>
  <c r="H42" i="11" l="1"/>
  <c r="AV42" i="8"/>
  <c r="AB42" i="7"/>
  <c r="E42" i="2"/>
  <c r="L42" i="2" s="1"/>
  <c r="H43" i="11" l="1"/>
  <c r="AV43" i="8"/>
  <c r="AB43" i="7"/>
  <c r="E43" i="2"/>
  <c r="L43" i="2" s="1"/>
  <c r="H44" i="11" l="1"/>
  <c r="AV44" i="8"/>
  <c r="AB44" i="7"/>
  <c r="E44" i="2"/>
  <c r="L44" i="2" s="1"/>
  <c r="H45" i="11" l="1"/>
  <c r="AB45" i="7"/>
  <c r="AV45" i="8"/>
  <c r="E45" i="2"/>
  <c r="L45" i="2" s="1"/>
  <c r="H46" i="11" l="1"/>
  <c r="AB46" i="7"/>
  <c r="E46" i="2"/>
  <c r="L46" i="2" s="1"/>
  <c r="AV46" i="8"/>
  <c r="H47" i="11" l="1"/>
  <c r="AV47" i="8"/>
  <c r="E47" i="2"/>
  <c r="L47" i="2" s="1"/>
  <c r="AB47" i="7"/>
  <c r="H48" i="11" l="1"/>
  <c r="AV48" i="8"/>
  <c r="E48" i="2"/>
  <c r="L48" i="2" s="1"/>
  <c r="AB48" i="7"/>
  <c r="B49" i="8" l="1"/>
  <c r="H49" i="11" l="1"/>
  <c r="E49" i="2"/>
  <c r="L49" i="2" s="1"/>
  <c r="D49" i="2"/>
  <c r="AB49" i="7"/>
  <c r="AV49" i="8"/>
  <c r="U49" i="2" l="1"/>
  <c r="B50" i="8"/>
  <c r="H50" i="11" l="1"/>
  <c r="D50" i="2"/>
  <c r="E50" i="2"/>
  <c r="L50" i="2" s="1"/>
  <c r="AB50" i="7"/>
  <c r="AV50" i="8"/>
  <c r="U50" i="2" l="1"/>
  <c r="H51" i="11" l="1"/>
  <c r="AV51" i="8"/>
  <c r="AB51" i="7"/>
  <c r="E51" i="2"/>
  <c r="L51" i="2" s="1"/>
  <c r="H52" i="11" l="1"/>
  <c r="AV52" i="8"/>
  <c r="AB52" i="7"/>
  <c r="E52" i="2"/>
  <c r="L52" i="2" s="1"/>
  <c r="H53" i="11" l="1"/>
  <c r="AV53" i="8"/>
  <c r="E53" i="2"/>
  <c r="L53" i="2" s="1"/>
  <c r="AB53" i="7"/>
  <c r="H54" i="11" l="1"/>
  <c r="AB54" i="7"/>
  <c r="E54" i="2"/>
  <c r="L54" i="2" s="1"/>
  <c r="AV54" i="8"/>
  <c r="H55" i="11" l="1"/>
  <c r="AV55" i="8"/>
  <c r="AB55" i="7"/>
  <c r="E55" i="2"/>
  <c r="L55" i="2" s="1"/>
  <c r="H56" i="11" l="1"/>
  <c r="AV56" i="8"/>
  <c r="AB56" i="7"/>
  <c r="E56" i="2"/>
  <c r="L56" i="2" s="1"/>
  <c r="H57" i="11" l="1"/>
  <c r="AB57" i="7"/>
  <c r="E57" i="2"/>
  <c r="L57" i="2" s="1"/>
  <c r="AV57" i="8"/>
  <c r="H58" i="11" l="1"/>
  <c r="AV58" i="8"/>
  <c r="AB58" i="7"/>
  <c r="E58" i="2"/>
  <c r="L58" i="2" s="1"/>
  <c r="H59" i="11" l="1"/>
  <c r="AV59" i="8"/>
  <c r="E59" i="2"/>
  <c r="L59" i="2" s="1"/>
  <c r="AB59" i="7"/>
  <c r="H60" i="11" l="1"/>
  <c r="AV60" i="8"/>
  <c r="AB60" i="7"/>
  <c r="E60" i="2"/>
  <c r="L60" i="2" s="1"/>
  <c r="H61" i="11" l="1"/>
  <c r="AV61" i="8"/>
  <c r="E61" i="2"/>
  <c r="L61" i="2" s="1"/>
  <c r="AB61" i="7"/>
  <c r="H62" i="11" l="1"/>
  <c r="AV62" i="8"/>
  <c r="E62" i="2"/>
  <c r="L62" i="2" s="1"/>
  <c r="AB62" i="7"/>
  <c r="H63" i="11" l="1"/>
  <c r="AV63" i="8"/>
  <c r="AB63" i="7"/>
  <c r="E63" i="2"/>
  <c r="L63" i="2" s="1"/>
  <c r="H64" i="11" l="1"/>
  <c r="AV64" i="8"/>
  <c r="E64" i="2"/>
  <c r="L64" i="2" s="1"/>
  <c r="AB64" i="7"/>
  <c r="M28" i="7"/>
  <c r="H65" i="11" l="1"/>
  <c r="AV65" i="8"/>
  <c r="AB65" i="7"/>
  <c r="E65" i="2"/>
  <c r="L65" i="2" s="1"/>
  <c r="H66" i="11" l="1"/>
  <c r="AV66" i="8"/>
  <c r="AB66" i="7"/>
  <c r="E66" i="2"/>
  <c r="L66" i="2" s="1"/>
  <c r="B67" i="8" l="1"/>
  <c r="D67" i="2" l="1"/>
  <c r="H67" i="11"/>
  <c r="AV67" i="8"/>
  <c r="E67" i="2"/>
  <c r="L67" i="2" s="1"/>
  <c r="AB67" i="7"/>
  <c r="U67" i="2" l="1"/>
  <c r="B68" i="8" l="1"/>
  <c r="D68" i="2" l="1"/>
  <c r="H68" i="11"/>
  <c r="AB68" i="7"/>
  <c r="AV68" i="8"/>
  <c r="E68" i="2"/>
  <c r="L68" i="2" s="1"/>
  <c r="U68" i="2" l="1"/>
  <c r="H69" i="11" l="1"/>
  <c r="AB69" i="7"/>
  <c r="AV69" i="8"/>
  <c r="E69" i="2"/>
  <c r="L69" i="2" s="1"/>
  <c r="H70" i="11" l="1"/>
  <c r="AB70" i="7"/>
  <c r="AV70" i="8"/>
  <c r="E70" i="2"/>
  <c r="L70" i="2" s="1"/>
  <c r="B71" i="8" l="1"/>
  <c r="H71" i="11" l="1"/>
  <c r="AV71" i="8"/>
  <c r="AB71" i="7"/>
  <c r="D71" i="2"/>
  <c r="E71" i="2"/>
  <c r="L71" i="2" s="1"/>
  <c r="U71" i="2" l="1"/>
  <c r="H72" i="11" l="1"/>
  <c r="AB72" i="7"/>
  <c r="E72" i="2"/>
  <c r="L72" i="2" s="1"/>
  <c r="AV72" i="8"/>
  <c r="H73" i="11" l="1"/>
  <c r="AB73" i="7"/>
  <c r="AV73" i="8"/>
  <c r="E73" i="2"/>
  <c r="L73" i="2" s="1"/>
  <c r="H74" i="11" l="1"/>
  <c r="AV74" i="8"/>
  <c r="AB74" i="7"/>
  <c r="E74" i="2"/>
  <c r="L74" i="2" s="1"/>
  <c r="H75" i="11" l="1"/>
  <c r="AV75" i="8"/>
  <c r="E75" i="2"/>
  <c r="L75" i="2" s="1"/>
  <c r="AB75" i="7"/>
  <c r="H76" i="11" l="1"/>
  <c r="AV76" i="8"/>
  <c r="AB76" i="7"/>
  <c r="F41" i="4"/>
  <c r="E76" i="2"/>
  <c r="L76" i="2" s="1"/>
  <c r="H41" i="4" l="1"/>
  <c r="B41" i="4"/>
  <c r="B55" i="4" l="1"/>
  <c r="J61" i="4" l="1"/>
  <c r="J63" i="4" l="1"/>
  <c r="J65" i="4"/>
  <c r="J62" i="4"/>
  <c r="J64" i="4"/>
  <c r="H77" i="11" l="1"/>
  <c r="AV77" i="8"/>
  <c r="AB77" i="7"/>
  <c r="E77" i="2"/>
  <c r="L77" i="2" s="1"/>
  <c r="H78" i="11" l="1"/>
  <c r="AV78" i="8"/>
  <c r="AB78" i="7"/>
  <c r="E78" i="2"/>
  <c r="L78" i="2" s="1"/>
  <c r="H79" i="11" l="1"/>
  <c r="AB79" i="7"/>
  <c r="E79" i="2"/>
  <c r="L79" i="2" s="1"/>
  <c r="AV79" i="8"/>
  <c r="H80" i="11" l="1"/>
  <c r="AV80" i="8"/>
  <c r="E80" i="2"/>
  <c r="L80" i="2" s="1"/>
  <c r="AB80" i="7"/>
  <c r="H81" i="11" l="1"/>
  <c r="AV81" i="8"/>
  <c r="E81" i="2"/>
  <c r="L81" i="2" s="1"/>
  <c r="AB81" i="7"/>
  <c r="H82" i="11" l="1"/>
  <c r="AV82" i="8"/>
  <c r="E82" i="2"/>
  <c r="L82" i="2" s="1"/>
  <c r="AB82" i="7"/>
  <c r="H83" i="11" l="1"/>
  <c r="AV83" i="8"/>
  <c r="AB83" i="7"/>
  <c r="E83" i="2"/>
  <c r="L83" i="2" s="1"/>
  <c r="H84" i="11" l="1"/>
  <c r="AV84" i="8"/>
  <c r="AB84" i="7"/>
  <c r="E84" i="2"/>
  <c r="L84" i="2" s="1"/>
  <c r="H85" i="11" l="1"/>
  <c r="AB85" i="7"/>
  <c r="E85" i="2"/>
  <c r="L85" i="2" s="1"/>
  <c r="AV85" i="8"/>
  <c r="H86" i="11" l="1"/>
  <c r="AV86" i="8"/>
  <c r="E86" i="2"/>
  <c r="L86" i="2" s="1"/>
  <c r="AB86" i="7"/>
  <c r="H87" i="11" l="1"/>
  <c r="AB87" i="7"/>
  <c r="E87" i="2"/>
  <c r="L87" i="2" s="1"/>
  <c r="AV87" i="8"/>
  <c r="B88" i="8" l="1"/>
  <c r="D88" i="2" l="1"/>
  <c r="H88" i="11"/>
  <c r="AV88" i="8"/>
  <c r="AB88" i="7"/>
  <c r="E88" i="2"/>
  <c r="L88" i="2" s="1"/>
  <c r="U88" i="2" l="1"/>
  <c r="H89" i="11" l="1"/>
  <c r="AV89" i="8"/>
  <c r="AB89" i="7"/>
  <c r="E89" i="2"/>
  <c r="L89" i="2" s="1"/>
  <c r="H90" i="11" l="1"/>
  <c r="AV90" i="8"/>
  <c r="E90" i="2"/>
  <c r="L90" i="2" s="1"/>
  <c r="AB90" i="7"/>
  <c r="H91" i="11" l="1"/>
  <c r="AV91" i="8"/>
  <c r="E91" i="2"/>
  <c r="L91" i="2" s="1"/>
  <c r="AB91" i="7"/>
  <c r="H92" i="11" l="1"/>
  <c r="AV92" i="8"/>
  <c r="AB92" i="7"/>
  <c r="E92" i="2"/>
  <c r="L92" i="2" s="1"/>
  <c r="H93" i="11" l="1"/>
  <c r="AV93" i="8"/>
  <c r="E93" i="2"/>
  <c r="L93" i="2" s="1"/>
  <c r="AB93" i="7"/>
  <c r="H94" i="11" l="1"/>
  <c r="AV94" i="8"/>
  <c r="AB94" i="7"/>
  <c r="E94" i="2"/>
  <c r="L94" i="2" s="1"/>
  <c r="H95" i="11" l="1"/>
  <c r="AB95" i="7"/>
  <c r="AV95" i="8"/>
  <c r="E95" i="2"/>
  <c r="L95" i="2" s="1"/>
  <c r="H96" i="11" l="1"/>
  <c r="AB96" i="7"/>
  <c r="AV96" i="8"/>
  <c r="E96" i="2"/>
  <c r="L96" i="2" s="1"/>
  <c r="H97" i="11" l="1"/>
  <c r="AB97" i="7"/>
  <c r="E97" i="2"/>
  <c r="L97" i="2" s="1"/>
  <c r="AV97" i="8"/>
  <c r="H98" i="11" l="1"/>
  <c r="AB98" i="7"/>
  <c r="E98" i="2"/>
  <c r="L98" i="2" s="1"/>
  <c r="AV98" i="8"/>
  <c r="H99" i="11" l="1"/>
  <c r="AV99" i="8"/>
  <c r="AB99" i="7"/>
  <c r="E99" i="2"/>
  <c r="L99" i="2" s="1"/>
  <c r="H100" i="11" l="1"/>
  <c r="AB100" i="7"/>
  <c r="E100" i="2"/>
  <c r="L100" i="2" s="1"/>
  <c r="AV100" i="8"/>
  <c r="H101" i="11" l="1"/>
  <c r="AV101" i="8"/>
  <c r="AB101" i="7"/>
  <c r="E101" i="2"/>
  <c r="L101" i="2" s="1"/>
  <c r="H102" i="11" l="1"/>
  <c r="AV102" i="8"/>
  <c r="AB102" i="7"/>
  <c r="E102" i="2"/>
  <c r="L102" i="2" s="1"/>
  <c r="H103" i="11" l="1"/>
  <c r="AV103" i="8"/>
  <c r="AB103" i="7"/>
  <c r="E103" i="2"/>
  <c r="L103" i="2" s="1"/>
  <c r="H104" i="11" l="1"/>
  <c r="AV104" i="8"/>
  <c r="E104" i="2"/>
  <c r="L104" i="2" s="1"/>
  <c r="AB104" i="7"/>
  <c r="H105" i="11" l="1"/>
  <c r="AB105" i="7"/>
  <c r="E105" i="2"/>
  <c r="L105" i="2" s="1"/>
  <c r="AV105" i="8"/>
  <c r="H106" i="11" l="1"/>
  <c r="AB106" i="7"/>
  <c r="E106" i="2"/>
  <c r="L106" i="2" s="1"/>
  <c r="AV106" i="8"/>
  <c r="H107" i="11" l="1"/>
  <c r="AV107" i="8"/>
  <c r="AB107" i="7"/>
  <c r="E107" i="2"/>
  <c r="L107" i="2" s="1"/>
  <c r="H108" i="11" l="1"/>
  <c r="AV108" i="8"/>
  <c r="AB108" i="7"/>
  <c r="E108" i="2"/>
  <c r="L108" i="2" s="1"/>
  <c r="H109" i="11" l="1"/>
  <c r="AV109" i="8"/>
  <c r="AB109" i="7"/>
  <c r="E109" i="2"/>
  <c r="L109" i="2" s="1"/>
  <c r="H110" i="11" l="1"/>
  <c r="AB110" i="7"/>
  <c r="AV110" i="8"/>
  <c r="E110" i="2"/>
  <c r="L110" i="2" s="1"/>
  <c r="H111" i="11" l="1"/>
  <c r="AB111" i="7"/>
  <c r="AV111" i="8"/>
  <c r="E111" i="2"/>
  <c r="L111" i="2" s="1"/>
  <c r="H112" i="11" l="1"/>
  <c r="AV112" i="8"/>
  <c r="AB112" i="7"/>
  <c r="E112" i="2"/>
  <c r="L112" i="2" s="1"/>
  <c r="H113" i="11" l="1"/>
  <c r="AB113" i="7"/>
  <c r="AV113" i="8"/>
  <c r="E113" i="2"/>
  <c r="L113" i="2" s="1"/>
  <c r="H114" i="11" l="1"/>
  <c r="AB114" i="7"/>
  <c r="E114" i="2"/>
  <c r="L114" i="2" s="1"/>
  <c r="AV114" i="8"/>
  <c r="H115" i="11" l="1"/>
  <c r="AV115" i="8"/>
  <c r="AB115" i="7"/>
  <c r="E115" i="2"/>
  <c r="L115" i="2" s="1"/>
  <c r="H116" i="11" l="1"/>
  <c r="AB116" i="7"/>
  <c r="E116" i="2"/>
  <c r="L116" i="2" s="1"/>
  <c r="AV116" i="8"/>
  <c r="H117" i="11" l="1"/>
  <c r="AV117" i="8"/>
  <c r="AB117" i="7"/>
  <c r="E117" i="2"/>
  <c r="L117" i="2" s="1"/>
  <c r="H118" i="11" l="1"/>
  <c r="AV118" i="8"/>
  <c r="AB118" i="7"/>
  <c r="E118" i="2"/>
  <c r="L118" i="2" s="1"/>
  <c r="H119" i="11" l="1"/>
  <c r="AB119" i="7"/>
  <c r="AV119" i="8"/>
  <c r="E119" i="2"/>
  <c r="L119" i="2" s="1"/>
  <c r="H120" i="11" l="1"/>
  <c r="AB120" i="7"/>
  <c r="E120" i="2"/>
  <c r="L120" i="2" s="1"/>
  <c r="AV120" i="8"/>
  <c r="H121" i="11" l="1"/>
  <c r="AB121" i="7"/>
  <c r="AV121" i="8"/>
  <c r="E121" i="2"/>
  <c r="L121" i="2" s="1"/>
  <c r="H122" i="11" l="1"/>
  <c r="AB122" i="7"/>
  <c r="AV122" i="8"/>
  <c r="E122" i="2"/>
  <c r="L122" i="2" s="1"/>
  <c r="H123" i="11" l="1"/>
  <c r="AB123" i="7"/>
  <c r="AV123" i="8"/>
  <c r="E123" i="2"/>
  <c r="L123" i="2" s="1"/>
  <c r="H124" i="11" l="1"/>
  <c r="AB124" i="7"/>
  <c r="E124" i="2"/>
  <c r="L124" i="2" s="1"/>
  <c r="AV124" i="8"/>
  <c r="H125" i="11" l="1"/>
  <c r="AV125" i="8"/>
  <c r="AB125" i="7"/>
  <c r="E125" i="2"/>
  <c r="L125" i="2" s="1"/>
  <c r="H126" i="11" l="1"/>
  <c r="AV126" i="8"/>
  <c r="AB126" i="7"/>
  <c r="E126" i="2"/>
  <c r="L126" i="2" s="1"/>
  <c r="H127" i="11" l="1"/>
  <c r="AV127" i="8"/>
  <c r="E127" i="2"/>
  <c r="L127" i="2" s="1"/>
  <c r="AB127" i="7"/>
  <c r="H128" i="11" l="1"/>
  <c r="AB128" i="7"/>
  <c r="AV128" i="8"/>
  <c r="E128" i="2"/>
  <c r="L128" i="2" s="1"/>
  <c r="H129" i="11" l="1"/>
  <c r="AB129" i="7"/>
  <c r="E129" i="2"/>
  <c r="L129" i="2" s="1"/>
  <c r="AV129" i="8"/>
  <c r="H130" i="11" l="1"/>
  <c r="AB130" i="7"/>
  <c r="E130" i="2"/>
  <c r="L130" i="2" s="1"/>
  <c r="AV130" i="8"/>
  <c r="H131" i="11" l="1"/>
  <c r="AB131" i="7"/>
  <c r="E131" i="2"/>
  <c r="L131" i="2" s="1"/>
  <c r="AV131" i="8"/>
  <c r="H132" i="11" l="1"/>
  <c r="AV132" i="8"/>
  <c r="AB132" i="7"/>
  <c r="E132" i="2"/>
  <c r="L132" i="2" s="1"/>
  <c r="H133" i="11" l="1"/>
  <c r="AB133" i="7"/>
  <c r="E133" i="2"/>
  <c r="L133" i="2" s="1"/>
  <c r="AV133" i="8"/>
  <c r="H134" i="11" l="1"/>
  <c r="AB134" i="7"/>
  <c r="E134" i="2"/>
  <c r="L134" i="2" s="1"/>
  <c r="AV134" i="8"/>
  <c r="H135" i="11" l="1"/>
  <c r="AB135" i="7"/>
  <c r="AV135" i="8"/>
  <c r="E135" i="2"/>
  <c r="L135" i="2" s="1"/>
  <c r="H136" i="11" l="1"/>
  <c r="AB136" i="7"/>
  <c r="AV136" i="8"/>
  <c r="E136" i="2"/>
  <c r="L136" i="2" s="1"/>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136" i="8" l="1"/>
  <c r="D136" i="2" s="1"/>
  <c r="U136" i="2" s="1"/>
  <c r="B135" i="8"/>
  <c r="D135" i="2" s="1"/>
  <c r="U135" i="2" s="1"/>
  <c r="B134" i="8"/>
  <c r="D134" i="2" s="1"/>
  <c r="U134" i="2" s="1"/>
  <c r="B133" i="8"/>
  <c r="D133" i="2" s="1"/>
  <c r="U133" i="2" s="1"/>
  <c r="B132" i="8"/>
  <c r="D132" i="2" s="1"/>
  <c r="U132" i="2" s="1"/>
  <c r="B131" i="8"/>
  <c r="D131" i="2" s="1"/>
  <c r="U131" i="2" s="1"/>
  <c r="B130" i="8"/>
  <c r="D130" i="2" s="1"/>
  <c r="U130" i="2" s="1"/>
  <c r="B129" i="8"/>
  <c r="D129" i="2" s="1"/>
  <c r="U129" i="2" s="1"/>
  <c r="B128" i="8"/>
  <c r="D128" i="2" s="1"/>
  <c r="U128" i="2" s="1"/>
  <c r="B127" i="8"/>
  <c r="D127" i="2" s="1"/>
  <c r="U127" i="2" s="1"/>
  <c r="B126" i="8"/>
  <c r="D126" i="2" s="1"/>
  <c r="U126" i="2" s="1"/>
  <c r="B125" i="8"/>
  <c r="D125" i="2" s="1"/>
  <c r="U125" i="2" s="1"/>
  <c r="B124" i="8"/>
  <c r="D124" i="2" s="1"/>
  <c r="U124" i="2" s="1"/>
  <c r="B123" i="8"/>
  <c r="D123" i="2" s="1"/>
  <c r="U123" i="2" s="1"/>
  <c r="B122" i="8"/>
  <c r="D122" i="2" s="1"/>
  <c r="U122" i="2" s="1"/>
  <c r="B121" i="8"/>
  <c r="D121" i="2" s="1"/>
  <c r="U121" i="2" s="1"/>
  <c r="B120" i="8"/>
  <c r="D120" i="2" s="1"/>
  <c r="U120" i="2" s="1"/>
  <c r="B119" i="8"/>
  <c r="D119" i="2" s="1"/>
  <c r="U119" i="2" s="1"/>
  <c r="B118" i="8"/>
  <c r="D118" i="2" s="1"/>
  <c r="U118" i="2" s="1"/>
  <c r="B117" i="8"/>
  <c r="D117" i="2" s="1"/>
  <c r="U117" i="2" s="1"/>
  <c r="B116" i="8"/>
  <c r="D116" i="2" s="1"/>
  <c r="U116" i="2" s="1"/>
  <c r="B115" i="8"/>
  <c r="D115" i="2" s="1"/>
  <c r="U115" i="2" s="1"/>
  <c r="B114" i="8"/>
  <c r="D114" i="2" s="1"/>
  <c r="U114" i="2" s="1"/>
  <c r="B113" i="8"/>
  <c r="D113" i="2" s="1"/>
  <c r="U113" i="2" s="1"/>
  <c r="B112" i="8"/>
  <c r="D112" i="2" s="1"/>
  <c r="U112" i="2" s="1"/>
  <c r="B111" i="8"/>
  <c r="D111" i="2" s="1"/>
  <c r="U111" i="2" s="1"/>
  <c r="B110" i="8"/>
  <c r="D110" i="2" s="1"/>
  <c r="U110" i="2" s="1"/>
  <c r="B109" i="8"/>
  <c r="D109" i="2" s="1"/>
  <c r="U109" i="2" s="1"/>
  <c r="B108" i="8"/>
  <c r="D108" i="2" s="1"/>
  <c r="U108" i="2" s="1"/>
  <c r="B107" i="8"/>
  <c r="D107" i="2" s="1"/>
  <c r="U107" i="2" s="1"/>
  <c r="B106" i="8"/>
  <c r="D106" i="2" s="1"/>
  <c r="U106" i="2" s="1"/>
  <c r="B105" i="8"/>
  <c r="D105" i="2" s="1"/>
  <c r="U105" i="2" s="1"/>
  <c r="B104" i="8"/>
  <c r="D104" i="2" s="1"/>
  <c r="U104" i="2" s="1"/>
  <c r="B103" i="8"/>
  <c r="D103" i="2" s="1"/>
  <c r="U103" i="2" s="1"/>
  <c r="B102" i="8"/>
  <c r="D102" i="2" s="1"/>
  <c r="U102" i="2" s="1"/>
  <c r="B101" i="8"/>
  <c r="D101" i="2" s="1"/>
  <c r="U101" i="2" s="1"/>
  <c r="B100" i="8"/>
  <c r="D100" i="2" s="1"/>
  <c r="U100" i="2" s="1"/>
  <c r="B99" i="8"/>
  <c r="D99" i="2" s="1"/>
  <c r="U99" i="2" s="1"/>
  <c r="B98" i="8"/>
  <c r="D98" i="2" s="1"/>
  <c r="U98" i="2" s="1"/>
  <c r="B97" i="8"/>
  <c r="D97" i="2" s="1"/>
  <c r="U97" i="2" s="1"/>
  <c r="B96" i="8"/>
  <c r="D96" i="2" s="1"/>
  <c r="U96" i="2" s="1"/>
  <c r="B95" i="8"/>
  <c r="D95" i="2" s="1"/>
  <c r="U95" i="2" s="1"/>
  <c r="B94" i="8"/>
  <c r="D94" i="2" s="1"/>
  <c r="U94" i="2" s="1"/>
  <c r="B93" i="8"/>
  <c r="D93" i="2" s="1"/>
  <c r="U93" i="2" s="1"/>
  <c r="B92" i="8"/>
  <c r="D92" i="2" s="1"/>
  <c r="U92" i="2" s="1"/>
  <c r="B91" i="8"/>
  <c r="D91" i="2" s="1"/>
  <c r="U91" i="2" s="1"/>
  <c r="B90" i="8"/>
  <c r="D90" i="2" s="1"/>
  <c r="U90" i="2" s="1"/>
  <c r="B89" i="8"/>
  <c r="D89" i="2" s="1"/>
  <c r="U89" i="2" s="1"/>
  <c r="B87" i="8"/>
  <c r="D87" i="2" s="1"/>
  <c r="U87" i="2" s="1"/>
  <c r="B86" i="8"/>
  <c r="D86" i="2" s="1"/>
  <c r="U86" i="2" s="1"/>
  <c r="B85" i="8"/>
  <c r="D85" i="2" s="1"/>
  <c r="U85" i="2" s="1"/>
  <c r="B84" i="8"/>
  <c r="D84" i="2" s="1"/>
  <c r="U84" i="2" s="1"/>
  <c r="B83" i="8"/>
  <c r="D83" i="2" s="1"/>
  <c r="U83" i="2" s="1"/>
  <c r="B82" i="8"/>
  <c r="D82" i="2" s="1"/>
  <c r="U82" i="2" s="1"/>
  <c r="B81" i="8"/>
  <c r="D81" i="2" s="1"/>
  <c r="U81" i="2" s="1"/>
  <c r="B80" i="8"/>
  <c r="D80" i="2" s="1"/>
  <c r="U80" i="2" s="1"/>
  <c r="B79" i="8"/>
  <c r="D79" i="2" s="1"/>
  <c r="U79" i="2" s="1"/>
  <c r="B78" i="8"/>
  <c r="D78" i="2" s="1"/>
  <c r="U78" i="2" s="1"/>
  <c r="B77" i="8"/>
  <c r="D77" i="2" s="1"/>
  <c r="U77" i="2" s="1"/>
  <c r="B76" i="8"/>
  <c r="D76" i="2" s="1"/>
  <c r="U76" i="2" s="1"/>
  <c r="B75" i="8"/>
  <c r="D75" i="2" s="1"/>
  <c r="U75" i="2" s="1"/>
  <c r="B74" i="8"/>
  <c r="D74" i="2" s="1"/>
  <c r="U74" i="2" s="1"/>
  <c r="B73" i="8"/>
  <c r="D73" i="2" s="1"/>
  <c r="U73" i="2" s="1"/>
  <c r="B72" i="8"/>
  <c r="D72" i="2" s="1"/>
  <c r="U72" i="2" s="1"/>
  <c r="B70" i="8"/>
  <c r="D70" i="2" s="1"/>
  <c r="U70" i="2" s="1"/>
  <c r="B69" i="8"/>
  <c r="D69" i="2" s="1"/>
  <c r="U69" i="2" s="1"/>
  <c r="B66" i="8"/>
  <c r="D66" i="2" s="1"/>
  <c r="U66" i="2" s="1"/>
  <c r="B65" i="8"/>
  <c r="D65" i="2" s="1"/>
  <c r="U65" i="2" s="1"/>
  <c r="B64" i="8"/>
  <c r="D64" i="2" s="1"/>
  <c r="U64" i="2" s="1"/>
  <c r="B63" i="8"/>
  <c r="D63" i="2" s="1"/>
  <c r="U63" i="2" s="1"/>
  <c r="B62" i="8"/>
  <c r="D62" i="2" s="1"/>
  <c r="U62" i="2" s="1"/>
  <c r="B61" i="8"/>
  <c r="D61" i="2" s="1"/>
  <c r="U61" i="2" s="1"/>
  <c r="B60" i="8"/>
  <c r="D60" i="2" s="1"/>
  <c r="U60" i="2" s="1"/>
  <c r="B59" i="8"/>
  <c r="D59" i="2" s="1"/>
  <c r="U59" i="2" s="1"/>
  <c r="B58" i="8"/>
  <c r="D58" i="2" s="1"/>
  <c r="U58" i="2" s="1"/>
  <c r="B57" i="8"/>
  <c r="D57" i="2" s="1"/>
  <c r="U57" i="2" s="1"/>
  <c r="B56" i="8"/>
  <c r="D56" i="2" s="1"/>
  <c r="U56" i="2" s="1"/>
  <c r="B55" i="8"/>
  <c r="D55" i="2" s="1"/>
  <c r="U55" i="2" s="1"/>
  <c r="B54" i="8"/>
  <c r="D54" i="2" s="1"/>
  <c r="U54" i="2" s="1"/>
  <c r="B53" i="8"/>
  <c r="D53" i="2" s="1"/>
  <c r="U53" i="2" s="1"/>
  <c r="B52" i="8"/>
  <c r="D52" i="2" s="1"/>
  <c r="U52" i="2" s="1"/>
  <c r="B51" i="8"/>
  <c r="D51" i="2" s="1"/>
  <c r="U51" i="2" s="1"/>
  <c r="B48" i="8"/>
  <c r="D48" i="2" s="1"/>
  <c r="U48" i="2" s="1"/>
  <c r="B47" i="8"/>
  <c r="D47" i="2" s="1"/>
  <c r="U47" i="2" s="1"/>
  <c r="B46" i="8"/>
  <c r="D46" i="2" s="1"/>
  <c r="U46" i="2" s="1"/>
  <c r="B45" i="8"/>
  <c r="D45" i="2" s="1"/>
  <c r="U45" i="2" s="1"/>
  <c r="B44" i="8"/>
  <c r="D44" i="2" s="1"/>
  <c r="U44" i="2" s="1"/>
  <c r="B43" i="8"/>
  <c r="D43" i="2" s="1"/>
  <c r="U43" i="2" s="1"/>
  <c r="B42" i="8"/>
  <c r="D42" i="2" s="1"/>
  <c r="U42" i="2" s="1"/>
  <c r="B41" i="8"/>
  <c r="D41" i="2" s="1"/>
  <c r="U41" i="2" s="1"/>
  <c r="B40" i="8"/>
  <c r="D40" i="2" s="1"/>
  <c r="U40" i="2" s="1"/>
  <c r="B39" i="8"/>
  <c r="D39" i="2" s="1"/>
  <c r="U39" i="2" s="1"/>
  <c r="B38" i="8"/>
  <c r="D38" i="2" s="1"/>
  <c r="U38" i="2" s="1"/>
  <c r="B37" i="8"/>
  <c r="D37" i="2" s="1"/>
  <c r="U37" i="2" s="1"/>
  <c r="B36" i="8"/>
  <c r="D36" i="2" s="1"/>
  <c r="U36" i="2" s="1"/>
  <c r="B35" i="8"/>
  <c r="D35" i="2" s="1"/>
  <c r="U35" i="2" s="1"/>
  <c r="B34" i="8"/>
  <c r="D34" i="2" s="1"/>
  <c r="U34" i="2" s="1"/>
  <c r="B33" i="8"/>
  <c r="D33" i="2" s="1"/>
  <c r="U33" i="2" s="1"/>
  <c r="B32" i="8"/>
  <c r="D32" i="2" s="1"/>
  <c r="U32" i="2" s="1"/>
  <c r="B31" i="8"/>
  <c r="D31" i="2" s="1"/>
  <c r="B30" i="8"/>
  <c r="D30" i="2" s="1"/>
  <c r="U30" i="2" s="1"/>
  <c r="B29" i="8"/>
  <c r="D29" i="2" s="1"/>
  <c r="U29" i="2" s="1"/>
  <c r="B28" i="8"/>
  <c r="D28" i="2" s="1"/>
  <c r="U28" i="2" s="1"/>
  <c r="B27" i="8"/>
  <c r="D27" i="2" s="1"/>
  <c r="B26" i="8"/>
  <c r="D26" i="2" s="1"/>
  <c r="U26" i="2" s="1"/>
  <c r="B25" i="8"/>
  <c r="D25" i="2" s="1"/>
  <c r="U25" i="2" s="1"/>
  <c r="B24" i="8"/>
  <c r="D24" i="2" s="1"/>
  <c r="B23" i="8"/>
  <c r="D23" i="2" s="1"/>
  <c r="U23" i="2" s="1"/>
  <c r="B22" i="8"/>
  <c r="D22" i="2" s="1"/>
  <c r="U22" i="2" s="1"/>
  <c r="B21" i="8"/>
  <c r="D21" i="2" s="1"/>
  <c r="U21" i="2" s="1"/>
  <c r="B20" i="8"/>
  <c r="D20" i="2" s="1"/>
  <c r="B19" i="8"/>
  <c r="D19" i="2" s="1"/>
  <c r="B18" i="8"/>
  <c r="D18" i="2" s="1"/>
  <c r="U18" i="2" s="1"/>
  <c r="B17" i="8"/>
  <c r="D17" i="2" s="1"/>
  <c r="B14" i="8"/>
  <c r="D14" i="2" s="1"/>
  <c r="B10" i="8"/>
  <c r="D10" i="2" s="1"/>
  <c r="B9" i="8"/>
  <c r="D9" i="2" s="1"/>
  <c r="U9" i="2" s="1"/>
  <c r="B8" i="8"/>
  <c r="D8" i="2" s="1"/>
  <c r="U8" i="2" s="1"/>
  <c r="B7" i="8"/>
  <c r="D7" i="2" s="1"/>
  <c r="U7" i="2" s="1"/>
  <c r="B6" i="8"/>
  <c r="D6" i="2" s="1"/>
  <c r="B5" i="8"/>
  <c r="D5" i="2" s="1"/>
  <c r="U5" i="2" l="1"/>
  <c r="W4" i="2" s="1"/>
  <c r="C5" i="2" s="1"/>
  <c r="U14" i="2"/>
  <c r="U17" i="2"/>
  <c r="U27" i="2"/>
  <c r="U19" i="2"/>
  <c r="U20" i="2"/>
  <c r="U6" i="2"/>
  <c r="U31" i="2"/>
  <c r="U24" i="2"/>
  <c r="U10" i="2"/>
  <c r="S5" i="8" l="1"/>
  <c r="I5" i="2"/>
  <c r="AA5" i="1" s="1"/>
  <c r="S5" i="1" s="1"/>
  <c r="H6" i="1" s="1"/>
  <c r="F5" i="1"/>
  <c r="H5" i="2"/>
  <c r="F5" i="2"/>
  <c r="AK6" i="5" l="1"/>
  <c r="C6" i="11"/>
  <c r="BI6" i="1"/>
  <c r="AP6" i="8"/>
  <c r="V6" i="10"/>
  <c r="AC6" i="7"/>
  <c r="AJ6" i="7" s="1"/>
  <c r="J5" i="11"/>
  <c r="AP5" i="1"/>
  <c r="T5" i="1" s="1"/>
  <c r="I6" i="1" s="1"/>
  <c r="G5" i="2"/>
  <c r="I5" i="11"/>
  <c r="O5" i="7"/>
  <c r="T5" i="8"/>
  <c r="W5" i="8" s="1"/>
  <c r="V5" i="8"/>
  <c r="C5" i="8" l="1"/>
  <c r="Z5" i="2"/>
  <c r="BJ6" i="1"/>
  <c r="AO6" i="1"/>
  <c r="P5" i="7"/>
  <c r="F5" i="9"/>
  <c r="Y5" i="2" l="1"/>
  <c r="X5" i="2" s="1"/>
  <c r="W5" i="2" s="1"/>
  <c r="C6" i="2" s="1"/>
  <c r="I6" i="2" l="1"/>
  <c r="AA6" i="1" s="1"/>
  <c r="S6" i="1" s="1"/>
  <c r="H7" i="1" s="1"/>
  <c r="S6" i="8"/>
  <c r="H6" i="2"/>
  <c r="F6" i="1"/>
  <c r="F6" i="2"/>
  <c r="AK7" i="5" l="1"/>
  <c r="BI7" i="1"/>
  <c r="V7" i="10"/>
  <c r="C7" i="11"/>
  <c r="AP7" i="8"/>
  <c r="AC7" i="7"/>
  <c r="AJ7" i="7" s="1"/>
  <c r="T6" i="8"/>
  <c r="W6" i="8" s="1"/>
  <c r="V6" i="8"/>
  <c r="J6" i="11"/>
  <c r="AP6" i="1"/>
  <c r="T6" i="1" s="1"/>
  <c r="I7" i="1" s="1"/>
  <c r="G6" i="2"/>
  <c r="I6" i="11"/>
  <c r="O6" i="7"/>
  <c r="BJ7" i="1" l="1"/>
  <c r="AO7" i="1"/>
  <c r="Z6" i="2"/>
  <c r="C6" i="8"/>
  <c r="P6" i="7"/>
  <c r="F6" i="9"/>
  <c r="Y6" i="2" l="1"/>
  <c r="X6" i="2" s="1"/>
  <c r="W6" i="2" s="1"/>
  <c r="C7" i="2" s="1"/>
  <c r="S7" i="8" l="1"/>
  <c r="F7" i="2"/>
  <c r="I7" i="2"/>
  <c r="AA7" i="1" s="1"/>
  <c r="S7" i="1" s="1"/>
  <c r="H8" i="1" s="1"/>
  <c r="F7" i="1"/>
  <c r="H7" i="2"/>
  <c r="I7" i="11" l="1"/>
  <c r="O7" i="7"/>
  <c r="AC8" i="7"/>
  <c r="AJ8" i="7" s="1"/>
  <c r="AK8" i="5"/>
  <c r="C8" i="11"/>
  <c r="V8" i="10"/>
  <c r="BI8" i="1"/>
  <c r="AP8" i="8"/>
  <c r="G7" i="2"/>
  <c r="J7" i="11"/>
  <c r="AP7" i="1"/>
  <c r="T7" i="1" s="1"/>
  <c r="I8" i="1" s="1"/>
  <c r="V7" i="8"/>
  <c r="T7" i="8"/>
  <c r="W7" i="8" s="1"/>
  <c r="BJ8" i="1" l="1"/>
  <c r="AO8" i="1"/>
  <c r="Z7" i="2"/>
  <c r="C7" i="8"/>
  <c r="P7" i="7"/>
  <c r="F7" i="9"/>
  <c r="Y7" i="2" l="1"/>
  <c r="X7" i="2" s="1"/>
  <c r="W7" i="2" s="1"/>
  <c r="C8" i="2" s="1"/>
  <c r="I8" i="2" l="1"/>
  <c r="AA8" i="1" s="1"/>
  <c r="S8" i="1" s="1"/>
  <c r="H9" i="1" s="1"/>
  <c r="S8" i="8"/>
  <c r="H8" i="2"/>
  <c r="F8" i="1"/>
  <c r="F8" i="2"/>
  <c r="J8" i="11" l="1"/>
  <c r="G8" i="2"/>
  <c r="AP8" i="1"/>
  <c r="T8" i="1" s="1"/>
  <c r="I9" i="1" s="1"/>
  <c r="V8" i="8"/>
  <c r="T8" i="8"/>
  <c r="W8" i="8" s="1"/>
  <c r="AK9" i="5"/>
  <c r="C9" i="11"/>
  <c r="V9" i="10"/>
  <c r="AP9" i="8"/>
  <c r="BI9" i="1"/>
  <c r="AC9" i="7"/>
  <c r="AJ9" i="7" s="1"/>
  <c r="I8" i="11"/>
  <c r="O8" i="7"/>
  <c r="C8" i="8" l="1"/>
  <c r="Z8" i="2"/>
  <c r="BJ9" i="1"/>
  <c r="AO9" i="1"/>
  <c r="P8" i="7"/>
  <c r="F8" i="9"/>
  <c r="Y8" i="2" l="1"/>
  <c r="X8" i="2" s="1"/>
  <c r="W8" i="2" s="1"/>
  <c r="C9" i="2" s="1"/>
  <c r="F9" i="2" l="1"/>
  <c r="I9" i="2"/>
  <c r="AA9" i="1" s="1"/>
  <c r="S9" i="1" s="1"/>
  <c r="H10" i="1" s="1"/>
  <c r="S9" i="8"/>
  <c r="F9" i="1"/>
  <c r="H9" i="2"/>
  <c r="T9" i="8" l="1"/>
  <c r="W9" i="8" s="1"/>
  <c r="V9" i="8"/>
  <c r="BI10" i="1"/>
  <c r="AC10" i="7"/>
  <c r="AJ10" i="7" s="1"/>
  <c r="AK10" i="5"/>
  <c r="C10" i="11"/>
  <c r="V10" i="10"/>
  <c r="AP10" i="8"/>
  <c r="I9" i="11"/>
  <c r="O9" i="7"/>
  <c r="G9" i="2"/>
  <c r="J9" i="11"/>
  <c r="AP9" i="1"/>
  <c r="T9" i="1" s="1"/>
  <c r="I10" i="1" s="1"/>
  <c r="P9" i="7" l="1"/>
  <c r="F9" i="9"/>
  <c r="AO10" i="1"/>
  <c r="BJ10" i="1"/>
  <c r="C9" i="8"/>
  <c r="Z9" i="2"/>
  <c r="Y9" i="2" l="1"/>
  <c r="X9" i="2" s="1"/>
  <c r="W9" i="2" s="1"/>
  <c r="C10" i="2" s="1"/>
  <c r="S10" i="8" l="1"/>
  <c r="F10" i="1"/>
  <c r="H10" i="2"/>
  <c r="F10" i="2"/>
  <c r="I10" i="2"/>
  <c r="O10" i="7" l="1"/>
  <c r="I10" i="11"/>
  <c r="AP10" i="1"/>
  <c r="T10" i="1" s="1"/>
  <c r="I11" i="1" s="1"/>
  <c r="J10" i="11"/>
  <c r="G10" i="2"/>
  <c r="AA10" i="1"/>
  <c r="S10" i="1" s="1"/>
  <c r="H11" i="1" s="1"/>
  <c r="T10" i="8"/>
  <c r="W10" i="8" s="1"/>
  <c r="V10" i="8"/>
  <c r="AK11" i="5" l="1"/>
  <c r="V11" i="10"/>
  <c r="C11" i="11"/>
  <c r="AP11" i="8"/>
  <c r="BI11" i="1"/>
  <c r="AC11" i="7"/>
  <c r="AJ11" i="7" s="1"/>
  <c r="AO11" i="1"/>
  <c r="BJ11" i="1"/>
  <c r="C10" i="8"/>
  <c r="Z10" i="2"/>
  <c r="F10" i="9"/>
  <c r="P10" i="7"/>
  <c r="Y10" i="2" l="1"/>
  <c r="X10" i="2" s="1"/>
  <c r="W10" i="2" s="1"/>
  <c r="C11" i="2" s="1"/>
  <c r="S11" i="8" l="1"/>
  <c r="F11" i="2"/>
  <c r="I11" i="2"/>
  <c r="AA11" i="1" s="1"/>
  <c r="S11" i="1" s="1"/>
  <c r="H12" i="1" s="1"/>
  <c r="H11" i="2"/>
  <c r="F11" i="1"/>
  <c r="I11" i="11" l="1"/>
  <c r="O11" i="7"/>
  <c r="C12" i="11"/>
  <c r="AC12" i="7"/>
  <c r="AJ12" i="7" s="1"/>
  <c r="AK12" i="5"/>
  <c r="AP12" i="8"/>
  <c r="V12" i="10"/>
  <c r="BI12" i="1"/>
  <c r="AP11" i="1"/>
  <c r="T11" i="1" s="1"/>
  <c r="I12" i="1" s="1"/>
  <c r="G11" i="2"/>
  <c r="J11" i="11"/>
  <c r="T11" i="8"/>
  <c r="W11" i="8" s="1"/>
  <c r="V11" i="8"/>
  <c r="AO12" i="1" l="1"/>
  <c r="BJ12" i="1"/>
  <c r="P11" i="7"/>
  <c r="F11" i="9"/>
  <c r="C11" i="8"/>
  <c r="Z11" i="2"/>
  <c r="Y11" i="2" l="1"/>
  <c r="X11" i="2" s="1"/>
  <c r="W11" i="2" s="1"/>
  <c r="C12" i="2" s="1"/>
  <c r="S12" i="8" l="1"/>
  <c r="I12" i="2"/>
  <c r="AA12" i="1" s="1"/>
  <c r="S12" i="1" s="1"/>
  <c r="H13" i="1" s="1"/>
  <c r="F12" i="1"/>
  <c r="H12" i="2"/>
  <c r="F12" i="2"/>
  <c r="AP12" i="1" l="1"/>
  <c r="T12" i="1" s="1"/>
  <c r="I13" i="1" s="1"/>
  <c r="G12" i="2"/>
  <c r="J12" i="11"/>
  <c r="AK13" i="5"/>
  <c r="V13" i="10"/>
  <c r="BI13" i="1"/>
  <c r="AP13" i="8"/>
  <c r="C13" i="11"/>
  <c r="AC13" i="7"/>
  <c r="AJ13" i="7" s="1"/>
  <c r="I12" i="11"/>
  <c r="O12" i="7"/>
  <c r="V12" i="8"/>
  <c r="T12" i="8"/>
  <c r="W12" i="8" s="1"/>
  <c r="P12" i="7" l="1"/>
  <c r="F12" i="9"/>
  <c r="C12" i="8"/>
  <c r="Z12" i="2"/>
  <c r="AO13" i="1"/>
  <c r="BJ13" i="1"/>
  <c r="Y12" i="2" l="1"/>
  <c r="X12" i="2" s="1"/>
  <c r="W12" i="2" s="1"/>
  <c r="C13" i="2" s="1"/>
  <c r="S13" i="8" l="1"/>
  <c r="I13" i="2"/>
  <c r="AA13" i="1" s="1"/>
  <c r="S13" i="1" s="1"/>
  <c r="H14" i="1" s="1"/>
  <c r="F13" i="1"/>
  <c r="H13" i="2"/>
  <c r="F13" i="2"/>
  <c r="AP13" i="1" l="1"/>
  <c r="T13" i="1" s="1"/>
  <c r="I14" i="1" s="1"/>
  <c r="J13" i="11"/>
  <c r="G13" i="2"/>
  <c r="AK14" i="5"/>
  <c r="C14" i="11"/>
  <c r="AP14" i="8"/>
  <c r="BI14" i="1"/>
  <c r="V14" i="10"/>
  <c r="AC14" i="7"/>
  <c r="AJ14" i="7" s="1"/>
  <c r="O13" i="7"/>
  <c r="I13" i="11"/>
  <c r="T13" i="8"/>
  <c r="W13" i="8" s="1"/>
  <c r="V13" i="8"/>
  <c r="Z13" i="2" l="1"/>
  <c r="C13" i="8"/>
  <c r="F13" i="9"/>
  <c r="P13" i="7"/>
  <c r="BJ14" i="1"/>
  <c r="AO14" i="1"/>
  <c r="Y13" i="2" l="1"/>
  <c r="X13" i="2" s="1"/>
  <c r="W13" i="2" s="1"/>
  <c r="C14" i="2" s="1"/>
  <c r="F14" i="2" l="1"/>
  <c r="F14" i="1"/>
  <c r="H14" i="2"/>
  <c r="S14" i="8"/>
  <c r="I14" i="2"/>
  <c r="AA14" i="1" s="1"/>
  <c r="S14" i="1" s="1"/>
  <c r="H15" i="1" s="1"/>
  <c r="AK15" i="5" l="1"/>
  <c r="AP15" i="8"/>
  <c r="C15" i="11"/>
  <c r="AC15" i="7"/>
  <c r="AJ15" i="7" s="1"/>
  <c r="BI15" i="1"/>
  <c r="V15" i="10"/>
  <c r="I14" i="11"/>
  <c r="O14" i="7"/>
  <c r="V14" i="8"/>
  <c r="T14" i="8"/>
  <c r="W14" i="8" s="1"/>
  <c r="AP14" i="1"/>
  <c r="T14" i="1" s="1"/>
  <c r="I15" i="1" s="1"/>
  <c r="J14" i="11"/>
  <c r="G14" i="2"/>
  <c r="C14" i="8" l="1"/>
  <c r="Z14" i="2"/>
  <c r="P14" i="7"/>
  <c r="F14" i="9"/>
  <c r="BJ15" i="1"/>
  <c r="AO15" i="1"/>
  <c r="Y14" i="2" l="1"/>
  <c r="X14" i="2" s="1"/>
  <c r="W14" i="2" s="1"/>
  <c r="C15" i="2" s="1"/>
  <c r="S15" i="8" l="1"/>
  <c r="F15" i="1"/>
  <c r="H15" i="2"/>
  <c r="I15" i="2"/>
  <c r="AA15" i="1" s="1"/>
  <c r="S15" i="1" s="1"/>
  <c r="H16" i="1" s="1"/>
  <c r="F15" i="2"/>
  <c r="AK16" i="5" l="1"/>
  <c r="BI16" i="1"/>
  <c r="AP16" i="8"/>
  <c r="C16" i="11"/>
  <c r="V16" i="10"/>
  <c r="AC16" i="7"/>
  <c r="AJ16" i="7" s="1"/>
  <c r="J15" i="11"/>
  <c r="AP15" i="1"/>
  <c r="T15" i="1" s="1"/>
  <c r="I16" i="1" s="1"/>
  <c r="G15" i="2"/>
  <c r="I15" i="11"/>
  <c r="O15" i="7"/>
  <c r="V15" i="8"/>
  <c r="T15" i="8"/>
  <c r="W15" i="8" s="1"/>
  <c r="C15" i="8" l="1"/>
  <c r="Z15" i="2"/>
  <c r="BJ16" i="1"/>
  <c r="AO16" i="1"/>
  <c r="P15" i="7"/>
  <c r="F15" i="9"/>
  <c r="Y15" i="2" l="1"/>
  <c r="X15" i="2" s="1"/>
  <c r="W15" i="2" s="1"/>
  <c r="C16" i="2" s="1"/>
  <c r="S16" i="8" l="1"/>
  <c r="H16" i="2"/>
  <c r="F16" i="1"/>
  <c r="I16" i="2"/>
  <c r="AA16" i="1" s="1"/>
  <c r="S16" i="1" s="1"/>
  <c r="H17" i="1" s="1"/>
  <c r="F16" i="2"/>
  <c r="AK17" i="5" l="1"/>
  <c r="AC17" i="7"/>
  <c r="AJ17" i="7" s="1"/>
  <c r="BI17" i="1"/>
  <c r="C17" i="11"/>
  <c r="AP17" i="8"/>
  <c r="V17" i="10"/>
  <c r="J16" i="11"/>
  <c r="AP16" i="1"/>
  <c r="T16" i="1" s="1"/>
  <c r="I17" i="1" s="1"/>
  <c r="G16" i="2"/>
  <c r="O16" i="7"/>
  <c r="I16" i="11"/>
  <c r="V16" i="8"/>
  <c r="T16" i="8"/>
  <c r="W16" i="8" s="1"/>
  <c r="AO17" i="1" l="1"/>
  <c r="BJ17" i="1"/>
  <c r="Z16" i="2"/>
  <c r="C16" i="8"/>
  <c r="F16" i="9"/>
  <c r="P16" i="7"/>
  <c r="Y16" i="2" l="1"/>
  <c r="X16" i="2" s="1"/>
  <c r="W16" i="2" s="1"/>
  <c r="C17" i="2" s="1"/>
  <c r="F17" i="1" l="1"/>
  <c r="H17" i="2"/>
  <c r="I17" i="2"/>
  <c r="F17" i="2"/>
  <c r="S17" i="8"/>
  <c r="T17" i="8" l="1"/>
  <c r="W17" i="8" s="1"/>
  <c r="V17" i="8"/>
  <c r="I17" i="11"/>
  <c r="O17" i="7"/>
  <c r="AP17" i="1"/>
  <c r="T17" i="1" s="1"/>
  <c r="I18" i="1" s="1"/>
  <c r="J17" i="11"/>
  <c r="G17" i="2"/>
  <c r="AA17" i="1"/>
  <c r="S17" i="1" s="1"/>
  <c r="H18" i="1" s="1"/>
  <c r="BI18" i="1" l="1"/>
  <c r="AP18" i="8"/>
  <c r="C18" i="11"/>
  <c r="V18" i="10"/>
  <c r="AC18" i="7"/>
  <c r="AJ18" i="7" s="1"/>
  <c r="AK18" i="5"/>
  <c r="BJ18" i="1"/>
  <c r="AO18" i="1"/>
  <c r="Z17" i="2"/>
  <c r="C17" i="8"/>
  <c r="F17" i="9"/>
  <c r="P17" i="7"/>
  <c r="Y17" i="2" l="1"/>
  <c r="X17" i="2" s="1"/>
  <c r="W17" i="2" s="1"/>
  <c r="C18" i="2" s="1"/>
  <c r="F18" i="2" l="1"/>
  <c r="S18" i="8"/>
  <c r="I18" i="2"/>
  <c r="AA18" i="1" s="1"/>
  <c r="S18" i="1" s="1"/>
  <c r="H19" i="1" s="1"/>
  <c r="F18" i="1"/>
  <c r="H18" i="2"/>
  <c r="T18" i="8" l="1"/>
  <c r="W18" i="8" s="1"/>
  <c r="V18" i="8"/>
  <c r="AC19" i="7"/>
  <c r="AJ19" i="7" s="1"/>
  <c r="AK19" i="5"/>
  <c r="BI19" i="1"/>
  <c r="V19" i="10"/>
  <c r="AP19" i="8"/>
  <c r="C19" i="11"/>
  <c r="O18" i="7"/>
  <c r="I18" i="11"/>
  <c r="G18" i="2"/>
  <c r="J18" i="11"/>
  <c r="AP18" i="1"/>
  <c r="T18" i="1" s="1"/>
  <c r="I19" i="1" s="1"/>
  <c r="P18" i="7" l="1"/>
  <c r="F18" i="9"/>
  <c r="BJ19" i="1"/>
  <c r="AO19" i="1"/>
  <c r="C18" i="8"/>
  <c r="Z18" i="2"/>
  <c r="Y18" i="2" l="1"/>
  <c r="X18" i="2" s="1"/>
  <c r="W18" i="2" s="1"/>
  <c r="C19" i="2" s="1"/>
  <c r="S19" i="8" l="1"/>
  <c r="I19" i="2"/>
  <c r="AA19" i="1" s="1"/>
  <c r="S19" i="1" s="1"/>
  <c r="H20" i="1" s="1"/>
  <c r="H19" i="2"/>
  <c r="F19" i="1"/>
  <c r="F19" i="2"/>
  <c r="J19" i="11" l="1"/>
  <c r="AP19" i="1"/>
  <c r="T19" i="1" s="1"/>
  <c r="I20" i="1" s="1"/>
  <c r="G19" i="2"/>
  <c r="AK20" i="5"/>
  <c r="BI20" i="1"/>
  <c r="V20" i="10"/>
  <c r="C20" i="11"/>
  <c r="AP20" i="8"/>
  <c r="AC20" i="7"/>
  <c r="AJ20" i="7" s="1"/>
  <c r="I19" i="11"/>
  <c r="O19" i="7"/>
  <c r="V19" i="8"/>
  <c r="T19" i="8"/>
  <c r="W19" i="8" s="1"/>
  <c r="C19" i="8" l="1"/>
  <c r="Z19" i="2"/>
  <c r="AO20" i="1"/>
  <c r="BJ20" i="1"/>
  <c r="P19" i="7"/>
  <c r="F19" i="9"/>
  <c r="Y19" i="2" l="1"/>
  <c r="X19" i="2" s="1"/>
  <c r="W19" i="2" s="1"/>
  <c r="C20" i="2" s="1"/>
  <c r="F20" i="2" l="1"/>
  <c r="I20" i="2"/>
  <c r="AA20" i="1" s="1"/>
  <c r="S20" i="1" s="1"/>
  <c r="H21" i="1" s="1"/>
  <c r="F20" i="1"/>
  <c r="H20" i="2"/>
  <c r="S20" i="8"/>
  <c r="AP21" i="8" l="1"/>
  <c r="AC21" i="7"/>
  <c r="AJ21" i="7" s="1"/>
  <c r="AK21" i="5"/>
  <c r="C21" i="11"/>
  <c r="V21" i="10"/>
  <c r="BI21" i="1"/>
  <c r="T20" i="8"/>
  <c r="W20" i="8" s="1"/>
  <c r="V20" i="8"/>
  <c r="I20" i="11"/>
  <c r="O20" i="7"/>
  <c r="AP20" i="1"/>
  <c r="T20" i="1" s="1"/>
  <c r="I21" i="1" s="1"/>
  <c r="J20" i="11"/>
  <c r="G20" i="2"/>
  <c r="C20" i="8" l="1"/>
  <c r="Z20" i="2"/>
  <c r="P20" i="7"/>
  <c r="F20" i="9"/>
  <c r="BJ21" i="1"/>
  <c r="AO21" i="1"/>
  <c r="Y20" i="2" l="1"/>
  <c r="X20" i="2" s="1"/>
  <c r="W20" i="2" s="1"/>
  <c r="C21" i="2" s="1"/>
  <c r="S21" i="8" l="1"/>
  <c r="I21" i="2"/>
  <c r="AA21" i="1" s="1"/>
  <c r="S21" i="1" s="1"/>
  <c r="H22" i="1" s="1"/>
  <c r="H21" i="2"/>
  <c r="F21" i="1"/>
  <c r="F21" i="2"/>
  <c r="AK22" i="5" l="1"/>
  <c r="C22" i="11"/>
  <c r="V22" i="10"/>
  <c r="AP22" i="8"/>
  <c r="BI22" i="1"/>
  <c r="AC22" i="7"/>
  <c r="AJ22" i="7" s="1"/>
  <c r="J21" i="11"/>
  <c r="AP21" i="1"/>
  <c r="T21" i="1" s="1"/>
  <c r="I22" i="1" s="1"/>
  <c r="G21" i="2"/>
  <c r="I21" i="11"/>
  <c r="O21" i="7"/>
  <c r="V21" i="8"/>
  <c r="T21" i="8"/>
  <c r="W21" i="8" s="1"/>
  <c r="C21" i="8" l="1"/>
  <c r="Z21" i="2"/>
  <c r="BJ22" i="1"/>
  <c r="AO22" i="1"/>
  <c r="P21" i="7"/>
  <c r="F21" i="9"/>
  <c r="Y21" i="2" l="1"/>
  <c r="X21" i="2" s="1"/>
  <c r="W21" i="2" s="1"/>
  <c r="C22" i="2" s="1"/>
  <c r="I22" i="2" l="1"/>
  <c r="AA22" i="1" s="1"/>
  <c r="S22" i="1" s="1"/>
  <c r="H23" i="1" s="1"/>
  <c r="S22" i="8"/>
  <c r="H22" i="2"/>
  <c r="F22" i="1"/>
  <c r="F22" i="2"/>
  <c r="AK23" i="5" l="1"/>
  <c r="C23" i="11"/>
  <c r="V23" i="10"/>
  <c r="AP23" i="8"/>
  <c r="BI23" i="1"/>
  <c r="AC23" i="7"/>
  <c r="AJ23" i="7" s="1"/>
  <c r="V22" i="8"/>
  <c r="T22" i="8"/>
  <c r="W22" i="8" s="1"/>
  <c r="J22" i="11"/>
  <c r="G22" i="2"/>
  <c r="AP22" i="1"/>
  <c r="T22" i="1" s="1"/>
  <c r="I23" i="1" s="1"/>
  <c r="I22" i="11"/>
  <c r="O22" i="7"/>
  <c r="AO23" i="1" l="1"/>
  <c r="BJ23" i="1"/>
  <c r="P22" i="7"/>
  <c r="F22" i="9"/>
  <c r="C22" i="8"/>
  <c r="Z22" i="2"/>
  <c r="Y22" i="2" l="1"/>
  <c r="X22" i="2" s="1"/>
  <c r="W22" i="2" s="1"/>
  <c r="C23" i="2" s="1"/>
  <c r="S23" i="8" l="1"/>
  <c r="I23" i="2"/>
  <c r="AA23" i="1" s="1"/>
  <c r="S23" i="1" s="1"/>
  <c r="H24" i="1" s="1"/>
  <c r="H23" i="2"/>
  <c r="F23" i="1"/>
  <c r="F23" i="2"/>
  <c r="J23" i="11" l="1"/>
  <c r="AP23" i="1"/>
  <c r="T23" i="1" s="1"/>
  <c r="I24" i="1" s="1"/>
  <c r="G23" i="2"/>
  <c r="V24" i="10"/>
  <c r="BI24" i="1"/>
  <c r="AC24" i="7"/>
  <c r="AJ24" i="7" s="1"/>
  <c r="AP24" i="8"/>
  <c r="AK24" i="5"/>
  <c r="C24" i="11"/>
  <c r="I23" i="11"/>
  <c r="O23" i="7"/>
  <c r="V23" i="8"/>
  <c r="T23" i="8"/>
  <c r="W23" i="8" s="1"/>
  <c r="BJ24" i="1" l="1"/>
  <c r="AO24" i="1"/>
  <c r="Z23" i="2"/>
  <c r="C23" i="8"/>
  <c r="P23" i="7"/>
  <c r="F23" i="9"/>
  <c r="Y23" i="2" l="1"/>
  <c r="X23" i="2" s="1"/>
  <c r="W23" i="2" s="1"/>
  <c r="C24" i="2" s="1"/>
  <c r="F24" i="1" l="1"/>
  <c r="H24" i="2"/>
  <c r="I24" i="2"/>
  <c r="S24" i="8"/>
  <c r="F24" i="2"/>
  <c r="V24" i="8" l="1"/>
  <c r="T24" i="8"/>
  <c r="W24" i="8" s="1"/>
  <c r="I24" i="11"/>
  <c r="O24" i="7"/>
  <c r="AP24" i="1"/>
  <c r="T24" i="1" s="1"/>
  <c r="I25" i="1" s="1"/>
  <c r="J24" i="11"/>
  <c r="G24" i="2"/>
  <c r="AA24" i="1"/>
  <c r="S24" i="1" s="1"/>
  <c r="H25" i="1" s="1"/>
  <c r="P24" i="7" l="1"/>
  <c r="F24" i="9"/>
  <c r="AK25" i="5"/>
  <c r="C25" i="11"/>
  <c r="BI25" i="1"/>
  <c r="AP25" i="8"/>
  <c r="V25" i="10"/>
  <c r="AC25" i="7"/>
  <c r="AJ25" i="7" s="1"/>
  <c r="Z24" i="2"/>
  <c r="C24" i="8"/>
  <c r="AO25" i="1"/>
  <c r="BJ25" i="1"/>
  <c r="Y24" i="2" l="1"/>
  <c r="X24" i="2" s="1"/>
  <c r="W24" i="2" s="1"/>
  <c r="C25" i="2" s="1"/>
  <c r="I25" i="2" l="1"/>
  <c r="AA25" i="1" s="1"/>
  <c r="S25" i="1" s="1"/>
  <c r="H26" i="1" s="1"/>
  <c r="S25" i="8"/>
  <c r="F25" i="1"/>
  <c r="F25" i="2"/>
  <c r="H25" i="2"/>
  <c r="J25" i="11" l="1"/>
  <c r="G25" i="2"/>
  <c r="AP25" i="1"/>
  <c r="T25" i="1" s="1"/>
  <c r="I26" i="1" s="1"/>
  <c r="V25" i="8"/>
  <c r="T25" i="8"/>
  <c r="W25" i="8" s="1"/>
  <c r="AK26" i="5"/>
  <c r="C26" i="11"/>
  <c r="V26" i="10"/>
  <c r="AP26" i="8"/>
  <c r="BI26" i="1"/>
  <c r="AC26" i="7"/>
  <c r="AJ26" i="7" s="1"/>
  <c r="I25" i="11"/>
  <c r="O25" i="7"/>
  <c r="BJ26" i="1" l="1"/>
  <c r="AO26" i="1"/>
  <c r="Z25" i="2"/>
  <c r="C25" i="8"/>
  <c r="F25" i="9"/>
  <c r="P25" i="7"/>
  <c r="Y25" i="2" l="1"/>
  <c r="X25" i="2" s="1"/>
  <c r="W25" i="2" s="1"/>
  <c r="C26" i="2" s="1"/>
  <c r="I26" i="2" l="1"/>
  <c r="AA26" i="1" s="1"/>
  <c r="S26" i="1" s="1"/>
  <c r="H27" i="1" s="1"/>
  <c r="H26" i="2"/>
  <c r="F26" i="2"/>
  <c r="F26" i="1"/>
  <c r="S26" i="8"/>
  <c r="AK27" i="5" l="1"/>
  <c r="AP27" i="8"/>
  <c r="V27" i="10"/>
  <c r="AC27" i="7"/>
  <c r="AJ27" i="7" s="1"/>
  <c r="C27" i="11"/>
  <c r="BI27" i="1"/>
  <c r="T26" i="8"/>
  <c r="W26" i="8" s="1"/>
  <c r="V26" i="8"/>
  <c r="J26" i="11"/>
  <c r="G26" i="2"/>
  <c r="AP26" i="1"/>
  <c r="T26" i="1" s="1"/>
  <c r="I27" i="1" s="1"/>
  <c r="I26" i="11"/>
  <c r="O26" i="7"/>
  <c r="F26" i="9" l="1"/>
  <c r="P26" i="7"/>
  <c r="C26" i="8"/>
  <c r="Z26" i="2"/>
  <c r="BJ27" i="1"/>
  <c r="AO27" i="1"/>
  <c r="Y26" i="2" l="1"/>
  <c r="X26" i="2" s="1"/>
  <c r="W26" i="2" s="1"/>
  <c r="C27" i="2" s="1"/>
  <c r="I27" i="2" l="1"/>
  <c r="AA27" i="1" s="1"/>
  <c r="S27" i="1" s="1"/>
  <c r="H28" i="1" s="1"/>
  <c r="F27" i="1"/>
  <c r="H27" i="2"/>
  <c r="S27" i="8"/>
  <c r="F27" i="2"/>
  <c r="AK28" i="5" l="1"/>
  <c r="BI28" i="1"/>
  <c r="V28" i="10"/>
  <c r="AP28" i="8"/>
  <c r="AC28" i="7"/>
  <c r="AJ28" i="7" s="1"/>
  <c r="C28" i="11"/>
  <c r="T27" i="8"/>
  <c r="W27" i="8" s="1"/>
  <c r="V27" i="8"/>
  <c r="J27" i="11"/>
  <c r="AP27" i="1"/>
  <c r="T27" i="1" s="1"/>
  <c r="I28" i="1" s="1"/>
  <c r="G27" i="2"/>
  <c r="I27" i="11"/>
  <c r="O27" i="7"/>
  <c r="Z27" i="2" l="1"/>
  <c r="C27" i="8"/>
  <c r="P27" i="7"/>
  <c r="F27" i="9"/>
  <c r="BJ28" i="1"/>
  <c r="AO28" i="1"/>
  <c r="Y27" i="2" l="1"/>
  <c r="X27" i="2" s="1"/>
  <c r="W27" i="2" s="1"/>
  <c r="C28" i="2" s="1"/>
  <c r="F28" i="1" l="1"/>
  <c r="H28" i="2"/>
  <c r="S28" i="8"/>
  <c r="F28" i="2"/>
  <c r="I28" i="2"/>
  <c r="I28" i="11" l="1"/>
  <c r="O28" i="7"/>
  <c r="J28" i="11"/>
  <c r="AP28" i="1"/>
  <c r="T28" i="1" s="1"/>
  <c r="I29" i="1" s="1"/>
  <c r="G28" i="2"/>
  <c r="AA28" i="1"/>
  <c r="S28" i="1" s="1"/>
  <c r="H29" i="1" s="1"/>
  <c r="V28" i="8"/>
  <c r="T28" i="8"/>
  <c r="W28" i="8" s="1"/>
  <c r="AK29" i="5" l="1"/>
  <c r="BI29" i="1"/>
  <c r="V29" i="10"/>
  <c r="AP29" i="8"/>
  <c r="AC29" i="7"/>
  <c r="AJ29" i="7" s="1"/>
  <c r="C29" i="11"/>
  <c r="C28" i="8"/>
  <c r="Z28" i="2"/>
  <c r="AO29" i="1"/>
  <c r="BJ29" i="1"/>
  <c r="F28" i="9"/>
  <c r="P28" i="7"/>
  <c r="Y28" i="2" l="1"/>
  <c r="X28" i="2" s="1"/>
  <c r="W28" i="2" s="1"/>
  <c r="C29" i="2" s="1"/>
  <c r="S29" i="8" l="1"/>
  <c r="F29" i="1"/>
  <c r="F29" i="2"/>
  <c r="H29" i="2"/>
  <c r="I29" i="2"/>
  <c r="AA29" i="1" s="1"/>
  <c r="S29" i="1" s="1"/>
  <c r="H30" i="1" s="1"/>
  <c r="AK30" i="5" l="1"/>
  <c r="V30" i="10"/>
  <c r="AP30" i="8"/>
  <c r="BI30" i="1"/>
  <c r="AC30" i="7"/>
  <c r="AJ30" i="7" s="1"/>
  <c r="C30" i="11"/>
  <c r="I29" i="11"/>
  <c r="O29" i="7"/>
  <c r="J29" i="11"/>
  <c r="AP29" i="1"/>
  <c r="T29" i="1" s="1"/>
  <c r="I30" i="1" s="1"/>
  <c r="G29" i="2"/>
  <c r="T29" i="8"/>
  <c r="W29" i="8" s="1"/>
  <c r="V29" i="8"/>
  <c r="BJ30" i="1" l="1"/>
  <c r="AO30" i="1"/>
  <c r="Z29" i="2"/>
  <c r="C29" i="8"/>
  <c r="F29" i="9"/>
  <c r="P29" i="7"/>
  <c r="Y29" i="2" l="1"/>
  <c r="X29" i="2" s="1"/>
  <c r="W29" i="2" s="1"/>
  <c r="C30" i="2" s="1"/>
  <c r="S30" i="8" l="1"/>
  <c r="H30" i="2"/>
  <c r="F30" i="2"/>
  <c r="I30" i="2"/>
  <c r="AA30" i="1" s="1"/>
  <c r="S30" i="1" s="1"/>
  <c r="H31" i="1" s="1"/>
  <c r="F30" i="1"/>
  <c r="C31" i="11" l="1"/>
  <c r="V31" i="10"/>
  <c r="AK31" i="5"/>
  <c r="BI31" i="1"/>
  <c r="AP31" i="8"/>
  <c r="AC31" i="7"/>
  <c r="AJ31" i="7" s="1"/>
  <c r="G30" i="2"/>
  <c r="AP30" i="1"/>
  <c r="T30" i="1" s="1"/>
  <c r="I31" i="1" s="1"/>
  <c r="J30" i="11"/>
  <c r="I30" i="11"/>
  <c r="O30" i="7"/>
  <c r="V30" i="8"/>
  <c r="T30" i="8"/>
  <c r="W30" i="8" s="1"/>
  <c r="Z30" i="2" l="1"/>
  <c r="C30" i="8"/>
  <c r="P30" i="7"/>
  <c r="F30" i="9"/>
  <c r="BJ31" i="1"/>
  <c r="AO31" i="1"/>
  <c r="Y30" i="2" l="1"/>
  <c r="X30" i="2" s="1"/>
  <c r="W30" i="2" s="1"/>
  <c r="C31" i="2" s="1"/>
  <c r="F31" i="1" l="1"/>
  <c r="F31" i="2"/>
  <c r="S31" i="8"/>
  <c r="H31" i="2"/>
  <c r="I31" i="2"/>
  <c r="J31" i="11" l="1"/>
  <c r="AP31" i="1"/>
  <c r="T31" i="1" s="1"/>
  <c r="I32" i="1" s="1"/>
  <c r="G31" i="2"/>
  <c r="I31" i="11"/>
  <c r="O31" i="7"/>
  <c r="AA31" i="1"/>
  <c r="S31" i="1" s="1"/>
  <c r="H32" i="1" s="1"/>
  <c r="V31" i="8"/>
  <c r="T31" i="8"/>
  <c r="W31" i="8" s="1"/>
  <c r="AO32" i="1" l="1"/>
  <c r="BJ32" i="1"/>
  <c r="C32" i="11"/>
  <c r="BI32" i="1"/>
  <c r="AK32" i="5"/>
  <c r="V32" i="10"/>
  <c r="AP32" i="8"/>
  <c r="AC32" i="7"/>
  <c r="AJ32" i="7" s="1"/>
  <c r="Z31" i="2"/>
  <c r="C31" i="8"/>
  <c r="P31" i="7"/>
  <c r="F31" i="9"/>
  <c r="Y31" i="2" l="1"/>
  <c r="X31" i="2" s="1"/>
  <c r="W31" i="2" s="1"/>
  <c r="C32" i="2" s="1"/>
  <c r="H32" i="2" l="1"/>
  <c r="F32" i="2"/>
  <c r="I32" i="2"/>
  <c r="AA32" i="1" s="1"/>
  <c r="S32" i="1" s="1"/>
  <c r="H33" i="1" s="1"/>
  <c r="S32" i="8"/>
  <c r="F32" i="1"/>
  <c r="AK33" i="5" l="1"/>
  <c r="C33" i="11"/>
  <c r="V33" i="10"/>
  <c r="BI33" i="1"/>
  <c r="AP33" i="8"/>
  <c r="AC33" i="7"/>
  <c r="AJ33" i="7" s="1"/>
  <c r="J32" i="11"/>
  <c r="G32" i="2"/>
  <c r="AP32" i="1"/>
  <c r="T32" i="1" s="1"/>
  <c r="I33" i="1" s="1"/>
  <c r="V32" i="8"/>
  <c r="T32" i="8"/>
  <c r="W32" i="8" s="1"/>
  <c r="O32" i="7"/>
  <c r="I32" i="11"/>
  <c r="BJ33" i="1" l="1"/>
  <c r="AO33" i="1"/>
  <c r="Z32" i="2"/>
  <c r="C32" i="8"/>
  <c r="F32" i="9"/>
  <c r="P32" i="7"/>
  <c r="Y32" i="2" l="1"/>
  <c r="X32" i="2" s="1"/>
  <c r="W32" i="2" s="1"/>
  <c r="C33" i="2" s="1"/>
  <c r="F33" i="1" l="1"/>
  <c r="H33" i="2"/>
  <c r="I33" i="2"/>
  <c r="AA33" i="1" s="1"/>
  <c r="S33" i="1" s="1"/>
  <c r="H34" i="1" s="1"/>
  <c r="F33" i="2"/>
  <c r="S33" i="8"/>
  <c r="C34" i="11" l="1"/>
  <c r="V34" i="10"/>
  <c r="AC34" i="7"/>
  <c r="AJ34" i="7" s="1"/>
  <c r="AK34" i="5"/>
  <c r="AP34" i="8"/>
  <c r="BI34" i="1"/>
  <c r="O33" i="7"/>
  <c r="I33" i="11"/>
  <c r="V33" i="8"/>
  <c r="T33" i="8"/>
  <c r="W33" i="8" s="1"/>
  <c r="AP33" i="1"/>
  <c r="T33" i="1" s="1"/>
  <c r="I34" i="1" s="1"/>
  <c r="J33" i="11"/>
  <c r="G33" i="2"/>
  <c r="Z33" i="2" l="1"/>
  <c r="C33" i="8"/>
  <c r="P33" i="7"/>
  <c r="F33" i="9"/>
  <c r="AO34" i="1"/>
  <c r="BJ34" i="1"/>
  <c r="Y33" i="2" l="1"/>
  <c r="X33" i="2" s="1"/>
  <c r="W33" i="2" s="1"/>
  <c r="C34" i="2" s="1"/>
  <c r="F34" i="1" l="1"/>
  <c r="F34" i="2"/>
  <c r="H34" i="2"/>
  <c r="S34" i="8"/>
  <c r="I34" i="2"/>
  <c r="T34" i="8" l="1"/>
  <c r="W34" i="8" s="1"/>
  <c r="V34" i="8"/>
  <c r="J34" i="11"/>
  <c r="G34" i="2"/>
  <c r="AP34" i="1"/>
  <c r="T34" i="1" s="1"/>
  <c r="I35" i="1" s="1"/>
  <c r="O34" i="7"/>
  <c r="I34" i="11"/>
  <c r="AA34" i="1"/>
  <c r="S34" i="1" s="1"/>
  <c r="H35" i="1" s="1"/>
  <c r="AK35" i="5" l="1"/>
  <c r="V35" i="10"/>
  <c r="BI35" i="1"/>
  <c r="C35" i="11"/>
  <c r="AP35" i="8"/>
  <c r="AC35" i="7"/>
  <c r="AJ35" i="7" s="1"/>
  <c r="Z34" i="2"/>
  <c r="C34" i="8"/>
  <c r="BJ35" i="1"/>
  <c r="AO35" i="1"/>
  <c r="F34" i="9"/>
  <c r="P34" i="7"/>
  <c r="Y34" i="2" l="1"/>
  <c r="X34" i="2" s="1"/>
  <c r="W34" i="2" s="1"/>
  <c r="C35" i="2" s="1"/>
  <c r="F35" i="2" l="1"/>
  <c r="F35" i="1"/>
  <c r="I35" i="2"/>
  <c r="S35" i="8"/>
  <c r="H35" i="2"/>
  <c r="I35" i="11" l="1"/>
  <c r="O35" i="7"/>
  <c r="T35" i="8"/>
  <c r="W35" i="8" s="1"/>
  <c r="V35" i="8"/>
  <c r="AA35" i="1"/>
  <c r="S35" i="1" s="1"/>
  <c r="H36" i="1" s="1"/>
  <c r="J35" i="11"/>
  <c r="G35" i="2"/>
  <c r="AP35" i="1"/>
  <c r="T35" i="1" s="1"/>
  <c r="I36" i="1" s="1"/>
  <c r="AC36" i="7" l="1"/>
  <c r="AJ36" i="7" s="1"/>
  <c r="AK36" i="5"/>
  <c r="BI36" i="1"/>
  <c r="AP36" i="8"/>
  <c r="C36" i="11"/>
  <c r="V36" i="10"/>
  <c r="C35" i="8"/>
  <c r="Z35" i="2"/>
  <c r="AO36" i="1"/>
  <c r="BJ36" i="1"/>
  <c r="P35" i="7"/>
  <c r="F35" i="9"/>
  <c r="Y35" i="2" l="1"/>
  <c r="X35" i="2" s="1"/>
  <c r="W35" i="2" s="1"/>
  <c r="C36" i="2" s="1"/>
  <c r="H36" i="2" l="1"/>
  <c r="F36" i="2"/>
  <c r="F36" i="1"/>
  <c r="S36" i="8"/>
  <c r="I36" i="2"/>
  <c r="O36" i="7" l="1"/>
  <c r="I36" i="11"/>
  <c r="AA36" i="1"/>
  <c r="S36" i="1" s="1"/>
  <c r="H37" i="1" s="1"/>
  <c r="V36" i="8"/>
  <c r="T36" i="8"/>
  <c r="W36" i="8" s="1"/>
  <c r="J36" i="11"/>
  <c r="G36" i="2"/>
  <c r="AP36" i="1"/>
  <c r="T36" i="1" s="1"/>
  <c r="I37" i="1" s="1"/>
  <c r="Z36" i="2" l="1"/>
  <c r="C36" i="8"/>
  <c r="F36" i="9"/>
  <c r="P36" i="7"/>
  <c r="BJ37" i="1"/>
  <c r="AO37" i="1"/>
  <c r="AK37" i="5"/>
  <c r="C37" i="11"/>
  <c r="V37" i="10"/>
  <c r="AP37" i="8"/>
  <c r="BI37" i="1"/>
  <c r="AC37" i="7"/>
  <c r="AJ37" i="7" s="1"/>
  <c r="Y36" i="2" l="1"/>
  <c r="X36" i="2" s="1"/>
  <c r="W36" i="2" s="1"/>
  <c r="C37" i="2" s="1"/>
  <c r="F37" i="2" l="1"/>
  <c r="H37" i="2"/>
  <c r="I37" i="2"/>
  <c r="S37" i="8"/>
  <c r="F37" i="1"/>
  <c r="I37" i="11" l="1"/>
  <c r="O37" i="7"/>
  <c r="V37" i="8"/>
  <c r="T37" i="8"/>
  <c r="W37" i="8" s="1"/>
  <c r="AA37" i="1"/>
  <c r="S37" i="1" s="1"/>
  <c r="H38" i="1" s="1"/>
  <c r="J37" i="11"/>
  <c r="G37" i="2"/>
  <c r="AP37" i="1"/>
  <c r="T37" i="1" s="1"/>
  <c r="I38" i="1" s="1"/>
  <c r="AO38" i="1" l="1"/>
  <c r="BJ38" i="1"/>
  <c r="P37" i="7"/>
  <c r="F37" i="9"/>
  <c r="C37" i="8"/>
  <c r="Z37" i="2"/>
  <c r="AC38" i="7"/>
  <c r="AJ38" i="7" s="1"/>
  <c r="AK38" i="5"/>
  <c r="C38" i="11"/>
  <c r="V38" i="10"/>
  <c r="BI38" i="1"/>
  <c r="AP38" i="8"/>
  <c r="Y37" i="2" l="1"/>
  <c r="X37" i="2" s="1"/>
  <c r="W37" i="2" s="1"/>
  <c r="C38" i="2" s="1"/>
  <c r="H38" i="2" l="1"/>
  <c r="F38" i="2"/>
  <c r="F38" i="1"/>
  <c r="I38" i="2"/>
  <c r="AA38" i="1" s="1"/>
  <c r="S38" i="1" s="1"/>
  <c r="H39" i="1" s="1"/>
  <c r="S38" i="8"/>
  <c r="AK39" i="5" l="1"/>
  <c r="BI39" i="1"/>
  <c r="C39" i="11"/>
  <c r="AP39" i="8"/>
  <c r="V39" i="10"/>
  <c r="AC39" i="7"/>
  <c r="AJ39" i="7" s="1"/>
  <c r="T38" i="8"/>
  <c r="W38" i="8" s="1"/>
  <c r="V38" i="8"/>
  <c r="I38" i="11"/>
  <c r="O38" i="7"/>
  <c r="G38" i="2"/>
  <c r="AP38" i="1"/>
  <c r="T38" i="1" s="1"/>
  <c r="I39" i="1" s="1"/>
  <c r="J38" i="11"/>
  <c r="P38" i="7" l="1"/>
  <c r="F38" i="9"/>
  <c r="AO39" i="1"/>
  <c r="BJ39" i="1"/>
  <c r="C38" i="8"/>
  <c r="Z38" i="2"/>
  <c r="Y38" i="2" l="1"/>
  <c r="X38" i="2" s="1"/>
  <c r="W38" i="2" s="1"/>
  <c r="C39" i="2" s="1"/>
  <c r="H39" i="2" l="1"/>
  <c r="S39" i="8"/>
  <c r="I39" i="2"/>
  <c r="F39" i="1"/>
  <c r="F39" i="2"/>
  <c r="O39" i="7" l="1"/>
  <c r="I39" i="11"/>
  <c r="J39" i="11"/>
  <c r="AP39" i="1"/>
  <c r="T39" i="1" s="1"/>
  <c r="I40" i="1" s="1"/>
  <c r="G39" i="2"/>
  <c r="AA39" i="1"/>
  <c r="S39" i="1" s="1"/>
  <c r="H40" i="1" s="1"/>
  <c r="V39" i="8"/>
  <c r="T39" i="8"/>
  <c r="W39" i="8" s="1"/>
  <c r="V40" i="10" l="1"/>
  <c r="AC40" i="7"/>
  <c r="AJ40" i="7" s="1"/>
  <c r="AK40" i="5"/>
  <c r="C40" i="11"/>
  <c r="BI40" i="1"/>
  <c r="AP40" i="8"/>
  <c r="C39" i="8"/>
  <c r="Z39" i="2"/>
  <c r="BJ40" i="1"/>
  <c r="AO40" i="1"/>
  <c r="P39" i="7"/>
  <c r="F39" i="9"/>
  <c r="Y39" i="2" l="1"/>
  <c r="X39" i="2" s="1"/>
  <c r="W39" i="2" s="1"/>
  <c r="C40" i="2" s="1"/>
  <c r="I40" i="2" l="1"/>
  <c r="AA40" i="1" s="1"/>
  <c r="S40" i="1" s="1"/>
  <c r="H41" i="1" s="1"/>
  <c r="F40" i="1"/>
  <c r="H40" i="2"/>
  <c r="F40" i="2"/>
  <c r="S40" i="8"/>
  <c r="AK41" i="5" l="1"/>
  <c r="AP41" i="8"/>
  <c r="C41" i="11"/>
  <c r="V41" i="10"/>
  <c r="BI41" i="1"/>
  <c r="AC41" i="7"/>
  <c r="AJ41" i="7" s="1"/>
  <c r="V40" i="8"/>
  <c r="T40" i="8"/>
  <c r="W40" i="8" s="1"/>
  <c r="J40" i="11"/>
  <c r="G40" i="2"/>
  <c r="AP40" i="1"/>
  <c r="T40" i="1" s="1"/>
  <c r="I41" i="1" s="1"/>
  <c r="O40" i="7"/>
  <c r="I40" i="11"/>
  <c r="BJ41" i="1" l="1"/>
  <c r="AO41" i="1"/>
  <c r="P40" i="7"/>
  <c r="F40" i="9"/>
  <c r="C40" i="8"/>
  <c r="Z40" i="2"/>
  <c r="Y40" i="2" l="1"/>
  <c r="X40" i="2" s="1"/>
  <c r="W40" i="2" s="1"/>
  <c r="C41" i="2" s="1"/>
  <c r="I41" i="2" l="1"/>
  <c r="AA41" i="1" s="1"/>
  <c r="S41" i="1" s="1"/>
  <c r="H42" i="1" s="1"/>
  <c r="H41" i="2"/>
  <c r="F41" i="1"/>
  <c r="F41" i="2"/>
  <c r="S41" i="8"/>
  <c r="AK42" i="5" l="1"/>
  <c r="BI42" i="1"/>
  <c r="V42" i="10"/>
  <c r="C42" i="11"/>
  <c r="AP42" i="8"/>
  <c r="AC42" i="7"/>
  <c r="AJ42" i="7" s="1"/>
  <c r="T41" i="8"/>
  <c r="W41" i="8" s="1"/>
  <c r="V41" i="8"/>
  <c r="G41" i="2"/>
  <c r="J41" i="11"/>
  <c r="AP41" i="1"/>
  <c r="T41" i="1" s="1"/>
  <c r="I42" i="1" s="1"/>
  <c r="O41" i="7"/>
  <c r="I41" i="11"/>
  <c r="BJ42" i="1" l="1"/>
  <c r="AO42" i="1"/>
  <c r="Z41" i="2"/>
  <c r="C41" i="8"/>
  <c r="F41" i="9"/>
  <c r="P41" i="7"/>
  <c r="Y41" i="2" l="1"/>
  <c r="X41" i="2" s="1"/>
  <c r="W41" i="2" s="1"/>
  <c r="C42" i="2" s="1"/>
  <c r="I42" i="2" l="1"/>
  <c r="AA42" i="1" s="1"/>
  <c r="S42" i="1" s="1"/>
  <c r="H43" i="1" s="1"/>
  <c r="H42" i="2"/>
  <c r="F42" i="1"/>
  <c r="F42" i="2"/>
  <c r="S42" i="8"/>
  <c r="AK43" i="5" l="1"/>
  <c r="BI43" i="1"/>
  <c r="C43" i="11"/>
  <c r="AP43" i="8"/>
  <c r="V43" i="10"/>
  <c r="AC43" i="7"/>
  <c r="AJ43" i="7" s="1"/>
  <c r="V42" i="8"/>
  <c r="T42" i="8"/>
  <c r="W42" i="8" s="1"/>
  <c r="J42" i="11"/>
  <c r="G42" i="2"/>
  <c r="AP42" i="1"/>
  <c r="T42" i="1" s="1"/>
  <c r="I43" i="1" s="1"/>
  <c r="O42" i="7"/>
  <c r="I42" i="11"/>
  <c r="C42" i="8" l="1"/>
  <c r="Z42" i="2"/>
  <c r="BJ43" i="1"/>
  <c r="AO43" i="1"/>
  <c r="P42" i="7"/>
  <c r="F42" i="9"/>
  <c r="Y42" i="2" l="1"/>
  <c r="X42" i="2" s="1"/>
  <c r="W42" i="2" s="1"/>
  <c r="C43" i="2" s="1"/>
  <c r="I43" i="2" l="1"/>
  <c r="AA43" i="1" s="1"/>
  <c r="S43" i="1" s="1"/>
  <c r="H44" i="1" s="1"/>
  <c r="F43" i="1"/>
  <c r="H43" i="2"/>
  <c r="F43" i="2"/>
  <c r="S43" i="8"/>
  <c r="T43" i="8" l="1"/>
  <c r="W43" i="8" s="1"/>
  <c r="V43" i="8"/>
  <c r="J43" i="11"/>
  <c r="G43" i="2"/>
  <c r="AP43" i="1"/>
  <c r="T43" i="1" s="1"/>
  <c r="I44" i="1" s="1"/>
  <c r="AK44" i="5"/>
  <c r="C44" i="11"/>
  <c r="BI44" i="1"/>
  <c r="AP44" i="8"/>
  <c r="V44" i="10"/>
  <c r="AC44" i="7"/>
  <c r="AJ44" i="7" s="1"/>
  <c r="O43" i="7"/>
  <c r="I43" i="11"/>
  <c r="P43" i="7" l="1"/>
  <c r="F43" i="9"/>
  <c r="BJ44" i="1"/>
  <c r="AO44" i="1"/>
  <c r="C43" i="8"/>
  <c r="Z43" i="2"/>
  <c r="Y43" i="2" l="1"/>
  <c r="X43" i="2" s="1"/>
  <c r="W43" i="2" s="1"/>
  <c r="C44" i="2" s="1"/>
  <c r="I44" i="2" l="1"/>
  <c r="AA44" i="1" s="1"/>
  <c r="S44" i="1" s="1"/>
  <c r="H45" i="1" s="1"/>
  <c r="H44" i="2"/>
  <c r="F44" i="1"/>
  <c r="F44" i="2"/>
  <c r="S44" i="8"/>
  <c r="V44" i="8" l="1"/>
  <c r="T44" i="8"/>
  <c r="W44" i="8" s="1"/>
  <c r="J44" i="11"/>
  <c r="G44" i="2"/>
  <c r="AP44" i="1"/>
  <c r="T44" i="1" s="1"/>
  <c r="I45" i="1" s="1"/>
  <c r="AK45" i="5"/>
  <c r="V45" i="10"/>
  <c r="BI45" i="1"/>
  <c r="AP45" i="8"/>
  <c r="C45" i="11"/>
  <c r="AC45" i="7"/>
  <c r="AJ45" i="7" s="1"/>
  <c r="O44" i="7"/>
  <c r="I44" i="11"/>
  <c r="BJ45" i="1" l="1"/>
  <c r="AO45" i="1"/>
  <c r="C44" i="8"/>
  <c r="Z44" i="2"/>
  <c r="P44" i="7"/>
  <c r="F44" i="9"/>
  <c r="Y44" i="2" l="1"/>
  <c r="X44" i="2" s="1"/>
  <c r="W44" i="2" s="1"/>
  <c r="C45" i="2" s="1"/>
  <c r="S45" i="8" l="1"/>
  <c r="H45" i="2"/>
  <c r="F45" i="1"/>
  <c r="I45" i="2"/>
  <c r="F45" i="2"/>
  <c r="J45" i="11" l="1"/>
  <c r="AP45" i="1"/>
  <c r="T45" i="1" s="1"/>
  <c r="I46" i="1" s="1"/>
  <c r="G45" i="2"/>
  <c r="I45" i="11"/>
  <c r="O45" i="7"/>
  <c r="AA45" i="1"/>
  <c r="S45" i="1" s="1"/>
  <c r="H46" i="1" s="1"/>
  <c r="V45" i="8"/>
  <c r="T45" i="8"/>
  <c r="W45" i="8" s="1"/>
  <c r="AC46" i="7" l="1"/>
  <c r="AJ46" i="7" s="1"/>
  <c r="AK46" i="5"/>
  <c r="V46" i="10"/>
  <c r="AP46" i="8"/>
  <c r="C46" i="11"/>
  <c r="BI46" i="1"/>
  <c r="AO46" i="1"/>
  <c r="BJ46" i="1"/>
  <c r="Z45" i="2"/>
  <c r="C45" i="8"/>
  <c r="P45" i="7"/>
  <c r="F45" i="9"/>
  <c r="Y45" i="2" l="1"/>
  <c r="X45" i="2" s="1"/>
  <c r="W45" i="2" s="1"/>
  <c r="C46" i="2" s="1"/>
  <c r="S46" i="8" l="1"/>
  <c r="H46" i="2"/>
  <c r="F46" i="1"/>
  <c r="F46" i="2"/>
  <c r="I46" i="2"/>
  <c r="I46" i="11" l="1"/>
  <c r="O46" i="7"/>
  <c r="J46" i="11"/>
  <c r="AP46" i="1"/>
  <c r="T46" i="1" s="1"/>
  <c r="I47" i="1" s="1"/>
  <c r="G46" i="2"/>
  <c r="AA46" i="1"/>
  <c r="S46" i="1" s="1"/>
  <c r="H47" i="1" s="1"/>
  <c r="T46" i="8"/>
  <c r="W46" i="8" s="1"/>
  <c r="V46" i="8"/>
  <c r="AC47" i="7" l="1"/>
  <c r="AJ47" i="7" s="1"/>
  <c r="AK47" i="5"/>
  <c r="BI47" i="1"/>
  <c r="C47" i="11"/>
  <c r="AP47" i="8"/>
  <c r="V47" i="10"/>
  <c r="C46" i="8"/>
  <c r="Z46" i="2"/>
  <c r="AO47" i="1"/>
  <c r="BJ47" i="1"/>
  <c r="P46" i="7"/>
  <c r="F46" i="9"/>
  <c r="Y46" i="2" l="1"/>
  <c r="X46" i="2" s="1"/>
  <c r="W46" i="2" s="1"/>
  <c r="C47" i="2" s="1"/>
  <c r="I47" i="2" l="1"/>
  <c r="AA47" i="1" s="1"/>
  <c r="S47" i="1" s="1"/>
  <c r="H48" i="1" s="1"/>
  <c r="F47" i="1"/>
  <c r="H47" i="2"/>
  <c r="S47" i="8"/>
  <c r="F47" i="2"/>
  <c r="J47" i="11" l="1"/>
  <c r="AP47" i="1"/>
  <c r="T47" i="1" s="1"/>
  <c r="I48" i="1" s="1"/>
  <c r="G47" i="2"/>
  <c r="AC48" i="7"/>
  <c r="AJ48" i="7" s="1"/>
  <c r="AK48" i="5"/>
  <c r="C48" i="11"/>
  <c r="BI48" i="1"/>
  <c r="AP48" i="8"/>
  <c r="V48" i="10"/>
  <c r="V47" i="8"/>
  <c r="T47" i="8"/>
  <c r="W47" i="8" s="1"/>
  <c r="I47" i="11"/>
  <c r="O47" i="7"/>
  <c r="C47" i="8" l="1"/>
  <c r="Z47" i="2"/>
  <c r="BJ48" i="1"/>
  <c r="AO48" i="1"/>
  <c r="P47" i="7"/>
  <c r="F47" i="9"/>
  <c r="Y47" i="2" l="1"/>
  <c r="X47" i="2" s="1"/>
  <c r="W47" i="2" s="1"/>
  <c r="C48" i="2" s="1"/>
  <c r="I48" i="2" l="1"/>
  <c r="AA48" i="1" s="1"/>
  <c r="S48" i="1" s="1"/>
  <c r="H49" i="1" s="1"/>
  <c r="F48" i="1"/>
  <c r="H48" i="2"/>
  <c r="F48" i="2"/>
  <c r="S48" i="8"/>
  <c r="AC49" i="7" l="1"/>
  <c r="AJ49" i="7" s="1"/>
  <c r="AK49" i="5"/>
  <c r="V49" i="10"/>
  <c r="BI49" i="1"/>
  <c r="AP49" i="8"/>
  <c r="C49" i="11"/>
  <c r="T48" i="8"/>
  <c r="W48" i="8" s="1"/>
  <c r="V48" i="8"/>
  <c r="G48" i="2"/>
  <c r="J48" i="11"/>
  <c r="AP48" i="1"/>
  <c r="T48" i="1" s="1"/>
  <c r="I49" i="1" s="1"/>
  <c r="I48" i="11"/>
  <c r="O48" i="7"/>
  <c r="F48" i="9" l="1"/>
  <c r="P48" i="7"/>
  <c r="Z48" i="2"/>
  <c r="C48" i="8"/>
  <c r="BJ49" i="1"/>
  <c r="AO49" i="1"/>
  <c r="Y48" i="2" l="1"/>
  <c r="X48" i="2" s="1"/>
  <c r="W48" i="2" s="1"/>
  <c r="C49" i="2" s="1"/>
  <c r="H49" i="2" l="1"/>
  <c r="F49" i="1"/>
  <c r="I49" i="2"/>
  <c r="F49" i="2"/>
  <c r="S49" i="8"/>
  <c r="V49" i="8" l="1"/>
  <c r="T49" i="8"/>
  <c r="W49" i="8" s="1"/>
  <c r="I49" i="11"/>
  <c r="O49" i="7"/>
  <c r="J49" i="11"/>
  <c r="G49" i="2"/>
  <c r="AP49" i="1"/>
  <c r="T49" i="1" s="1"/>
  <c r="I50" i="1" s="1"/>
  <c r="AA49" i="1"/>
  <c r="S49" i="1" s="1"/>
  <c r="H50" i="1" s="1"/>
  <c r="P49" i="7" l="1"/>
  <c r="F49" i="9"/>
  <c r="AC50" i="7"/>
  <c r="AJ50" i="7" s="1"/>
  <c r="AK50" i="5"/>
  <c r="BI50" i="1"/>
  <c r="C50" i="11"/>
  <c r="AP50" i="8"/>
  <c r="V50" i="10"/>
  <c r="AO50" i="1"/>
  <c r="BJ50" i="1"/>
  <c r="Z49" i="2"/>
  <c r="C49" i="8"/>
  <c r="Y49" i="2" l="1"/>
  <c r="X49" i="2" s="1"/>
  <c r="W49" i="2" s="1"/>
  <c r="C50" i="2" s="1"/>
  <c r="F50" i="1" l="1"/>
  <c r="H50" i="2"/>
  <c r="F50" i="2"/>
  <c r="S50" i="8"/>
  <c r="I50" i="2"/>
  <c r="I50" i="11" l="1"/>
  <c r="O50" i="7"/>
  <c r="V50" i="8"/>
  <c r="T50" i="8"/>
  <c r="W50" i="8" s="1"/>
  <c r="J50" i="11"/>
  <c r="G50" i="2"/>
  <c r="AP50" i="1"/>
  <c r="T50" i="1" s="1"/>
  <c r="I51" i="1" s="1"/>
  <c r="AA50" i="1"/>
  <c r="S50" i="1" s="1"/>
  <c r="H51" i="1" s="1"/>
  <c r="P50" i="7" l="1"/>
  <c r="F50" i="9"/>
  <c r="AO51" i="1"/>
  <c r="BJ51" i="1"/>
  <c r="C50" i="8"/>
  <c r="Z50" i="2"/>
  <c r="C51" i="11"/>
  <c r="BI51" i="1"/>
  <c r="V51" i="10"/>
  <c r="AC51" i="7"/>
  <c r="AJ51" i="7" s="1"/>
  <c r="AK51" i="5"/>
  <c r="AP51" i="8"/>
  <c r="Y50" i="2" l="1"/>
  <c r="X50" i="2" s="1"/>
  <c r="W50" i="2" s="1"/>
  <c r="C51" i="2" s="1"/>
  <c r="I51" i="2" l="1"/>
  <c r="AA51" i="1" s="1"/>
  <c r="S51" i="1" s="1"/>
  <c r="H52" i="1" s="1"/>
  <c r="F51" i="2"/>
  <c r="S51" i="8"/>
  <c r="F51" i="1"/>
  <c r="H51" i="2"/>
  <c r="AK52" i="5" l="1"/>
  <c r="AP52" i="8"/>
  <c r="V52" i="10"/>
  <c r="BI52" i="1"/>
  <c r="C52" i="11"/>
  <c r="AC52" i="7"/>
  <c r="AJ52" i="7" s="1"/>
  <c r="I51" i="11"/>
  <c r="O51" i="7"/>
  <c r="T51" i="8"/>
  <c r="W51" i="8" s="1"/>
  <c r="V51" i="8"/>
  <c r="AP51" i="1"/>
  <c r="T51" i="1" s="1"/>
  <c r="I52" i="1" s="1"/>
  <c r="G51" i="2"/>
  <c r="J51" i="11"/>
  <c r="P51" i="7" l="1"/>
  <c r="F51" i="9"/>
  <c r="Z51" i="2"/>
  <c r="C51" i="8"/>
  <c r="BJ52" i="1"/>
  <c r="AO52" i="1"/>
  <c r="Y51" i="2" l="1"/>
  <c r="X51" i="2" s="1"/>
  <c r="W51" i="2" s="1"/>
  <c r="C52" i="2" s="1"/>
  <c r="S52" i="8" l="1"/>
  <c r="H52" i="2"/>
  <c r="F52" i="1"/>
  <c r="F52" i="2"/>
  <c r="I52" i="2"/>
  <c r="I52" i="11" l="1"/>
  <c r="O52" i="7"/>
  <c r="J52" i="11"/>
  <c r="G52" i="2"/>
  <c r="AP52" i="1"/>
  <c r="T52" i="1" s="1"/>
  <c r="I53" i="1" s="1"/>
  <c r="AA52" i="1"/>
  <c r="S52" i="1" s="1"/>
  <c r="H53" i="1" s="1"/>
  <c r="T52" i="8"/>
  <c r="W52" i="8" s="1"/>
  <c r="V52" i="8"/>
  <c r="AK53" i="5" l="1"/>
  <c r="AC53" i="7"/>
  <c r="AJ53" i="7" s="1"/>
  <c r="V53" i="10"/>
  <c r="C53" i="11"/>
  <c r="AP53" i="8"/>
  <c r="BI53" i="1"/>
  <c r="AO53" i="1"/>
  <c r="BJ53" i="1"/>
  <c r="Z52" i="2"/>
  <c r="C52" i="8"/>
  <c r="P52" i="7"/>
  <c r="F52" i="9"/>
  <c r="Y52" i="2" l="1"/>
  <c r="X52" i="2" s="1"/>
  <c r="W52" i="2" s="1"/>
  <c r="C53" i="2" s="1"/>
  <c r="I53" i="2" l="1"/>
  <c r="AA53" i="1" s="1"/>
  <c r="S53" i="1" s="1"/>
  <c r="H54" i="1" s="1"/>
  <c r="H53" i="2"/>
  <c r="F53" i="1"/>
  <c r="F53" i="2"/>
  <c r="S53" i="8"/>
  <c r="AK54" i="5" l="1"/>
  <c r="BI54" i="1"/>
  <c r="AP54" i="8"/>
  <c r="C54" i="11"/>
  <c r="V54" i="10"/>
  <c r="AC54" i="7"/>
  <c r="AJ54" i="7" s="1"/>
  <c r="T53" i="8"/>
  <c r="W53" i="8" s="1"/>
  <c r="V53" i="8"/>
  <c r="J53" i="11"/>
  <c r="AP53" i="1"/>
  <c r="T53" i="1" s="1"/>
  <c r="I54" i="1" s="1"/>
  <c r="G53" i="2"/>
  <c r="I53" i="11"/>
  <c r="O53" i="7"/>
  <c r="Z53" i="2" l="1"/>
  <c r="C53" i="8"/>
  <c r="P53" i="7"/>
  <c r="F53" i="9"/>
  <c r="AO54" i="1"/>
  <c r="BJ54" i="1"/>
  <c r="Y53" i="2" l="1"/>
  <c r="X53" i="2" s="1"/>
  <c r="W53" i="2" s="1"/>
  <c r="C54" i="2" s="1"/>
  <c r="F54" i="1" l="1"/>
  <c r="H54" i="2"/>
  <c r="F54" i="2"/>
  <c r="I54" i="2"/>
  <c r="S54" i="8"/>
  <c r="I54" i="11" l="1"/>
  <c r="O54" i="7"/>
  <c r="T54" i="8"/>
  <c r="W54" i="8" s="1"/>
  <c r="V54" i="8"/>
  <c r="AA54" i="1"/>
  <c r="S54" i="1" s="1"/>
  <c r="H55" i="1" s="1"/>
  <c r="J54" i="11"/>
  <c r="AP54" i="1"/>
  <c r="T54" i="1" s="1"/>
  <c r="I55" i="1" s="1"/>
  <c r="G54" i="2"/>
  <c r="AK55" i="5" l="1"/>
  <c r="BI55" i="1"/>
  <c r="C55" i="11"/>
  <c r="V55" i="10"/>
  <c r="AP55" i="8"/>
  <c r="AC55" i="7"/>
  <c r="AJ55" i="7" s="1"/>
  <c r="BJ55" i="1"/>
  <c r="AO55" i="1"/>
  <c r="Z54" i="2"/>
  <c r="C54" i="8"/>
  <c r="P54" i="7"/>
  <c r="F54" i="9"/>
  <c r="Y54" i="2" l="1"/>
  <c r="X54" i="2" s="1"/>
  <c r="W54" i="2" s="1"/>
  <c r="C55" i="2" s="1"/>
  <c r="H55" i="2" l="1"/>
  <c r="F55" i="1"/>
  <c r="I55" i="2"/>
  <c r="F55" i="2"/>
  <c r="S55" i="8"/>
  <c r="I55" i="11" l="1"/>
  <c r="O55" i="7"/>
  <c r="T55" i="8"/>
  <c r="W55" i="8" s="1"/>
  <c r="V55" i="8"/>
  <c r="J55" i="11"/>
  <c r="G55" i="2"/>
  <c r="AP55" i="1"/>
  <c r="T55" i="1" s="1"/>
  <c r="I56" i="1" s="1"/>
  <c r="AA55" i="1"/>
  <c r="S55" i="1" s="1"/>
  <c r="H56" i="1" s="1"/>
  <c r="BJ56" i="1" l="1"/>
  <c r="AO56" i="1"/>
  <c r="F55" i="9"/>
  <c r="P55" i="7"/>
  <c r="AP56" i="8"/>
  <c r="V56" i="10"/>
  <c r="AK56" i="5"/>
  <c r="BI56" i="1"/>
  <c r="AC56" i="7"/>
  <c r="AJ56" i="7" s="1"/>
  <c r="C56" i="11"/>
  <c r="Z55" i="2"/>
  <c r="C55" i="8"/>
  <c r="Y55" i="2" l="1"/>
  <c r="X55" i="2" s="1"/>
  <c r="W55" i="2" s="1"/>
  <c r="C56" i="2" s="1"/>
  <c r="I56" i="2" l="1"/>
  <c r="AA56" i="1" s="1"/>
  <c r="S56" i="1" s="1"/>
  <c r="H57" i="1" s="1"/>
  <c r="F56" i="1"/>
  <c r="H56" i="2"/>
  <c r="S56" i="8"/>
  <c r="F56" i="2"/>
  <c r="T56" i="8" l="1"/>
  <c r="W56" i="8" s="1"/>
  <c r="V56" i="8"/>
  <c r="AC57" i="7"/>
  <c r="AJ57" i="7" s="1"/>
  <c r="AK57" i="5"/>
  <c r="BI57" i="1"/>
  <c r="V57" i="10"/>
  <c r="C57" i="11"/>
  <c r="AP57" i="8"/>
  <c r="J56" i="11"/>
  <c r="G56" i="2"/>
  <c r="AP56" i="1"/>
  <c r="T56" i="1" s="1"/>
  <c r="I57" i="1" s="1"/>
  <c r="I56" i="11"/>
  <c r="O56" i="7"/>
  <c r="AO57" i="1" l="1"/>
  <c r="BJ57" i="1"/>
  <c r="C56" i="8"/>
  <c r="Z56" i="2"/>
  <c r="P56" i="7"/>
  <c r="F56" i="9"/>
  <c r="Y56" i="2" l="1"/>
  <c r="X56" i="2" s="1"/>
  <c r="W56" i="2" s="1"/>
  <c r="C57" i="2" s="1"/>
  <c r="I57" i="2" l="1"/>
  <c r="AA57" i="1" s="1"/>
  <c r="S57" i="1" s="1"/>
  <c r="H58" i="1" s="1"/>
  <c r="H57" i="2"/>
  <c r="F57" i="1"/>
  <c r="F57" i="2"/>
  <c r="S57" i="8"/>
  <c r="AK58" i="5" l="1"/>
  <c r="BI58" i="1"/>
  <c r="V58" i="10"/>
  <c r="AP58" i="8"/>
  <c r="C58" i="11"/>
  <c r="AC58" i="7"/>
  <c r="AJ58" i="7" s="1"/>
  <c r="V57" i="8"/>
  <c r="T57" i="8"/>
  <c r="W57" i="8" s="1"/>
  <c r="J57" i="11"/>
  <c r="AP57" i="1"/>
  <c r="T57" i="1" s="1"/>
  <c r="I58" i="1" s="1"/>
  <c r="G57" i="2"/>
  <c r="O57" i="7"/>
  <c r="I57" i="11"/>
  <c r="Z57" i="2" l="1"/>
  <c r="C57" i="8"/>
  <c r="BJ58" i="1"/>
  <c r="AO58" i="1"/>
  <c r="P57" i="7"/>
  <c r="F57" i="9"/>
  <c r="Y57" i="2" l="1"/>
  <c r="X57" i="2" s="1"/>
  <c r="W57" i="2" s="1"/>
  <c r="C58" i="2" s="1"/>
  <c r="I58" i="2" l="1"/>
  <c r="AA58" i="1" s="1"/>
  <c r="S58" i="1" s="1"/>
  <c r="H59" i="1" s="1"/>
  <c r="F58" i="1"/>
  <c r="H58" i="2"/>
  <c r="F58" i="2"/>
  <c r="S58" i="8"/>
  <c r="AC59" i="7" l="1"/>
  <c r="AJ59" i="7" s="1"/>
  <c r="AK59" i="5"/>
  <c r="C59" i="11"/>
  <c r="BI59" i="1"/>
  <c r="V59" i="10"/>
  <c r="AP59" i="8"/>
  <c r="T58" i="8"/>
  <c r="W58" i="8" s="1"/>
  <c r="V58" i="8"/>
  <c r="J58" i="11"/>
  <c r="AP58" i="1"/>
  <c r="T58" i="1" s="1"/>
  <c r="I59" i="1" s="1"/>
  <c r="G58" i="2"/>
  <c r="I58" i="11"/>
  <c r="O58" i="7"/>
  <c r="BJ59" i="1" l="1"/>
  <c r="AO59" i="1"/>
  <c r="Z58" i="2"/>
  <c r="C58" i="8"/>
  <c r="P58" i="7"/>
  <c r="F58" i="9"/>
  <c r="Y58" i="2" l="1"/>
  <c r="X58" i="2" s="1"/>
  <c r="W58" i="2" s="1"/>
  <c r="C59" i="2" s="1"/>
  <c r="F59" i="1" l="1"/>
  <c r="H59" i="2"/>
  <c r="F59" i="2"/>
  <c r="I59" i="2"/>
  <c r="AA59" i="1" s="1"/>
  <c r="S59" i="1" s="1"/>
  <c r="H60" i="1" s="1"/>
  <c r="S59" i="8"/>
  <c r="AK60" i="5" l="1"/>
  <c r="C60" i="11"/>
  <c r="V60" i="10"/>
  <c r="AP60" i="8"/>
  <c r="BI60" i="1"/>
  <c r="AC60" i="7"/>
  <c r="AJ60" i="7" s="1"/>
  <c r="T59" i="8"/>
  <c r="W59" i="8" s="1"/>
  <c r="V59" i="8"/>
  <c r="J59" i="11"/>
  <c r="AP59" i="1"/>
  <c r="T59" i="1" s="1"/>
  <c r="I60" i="1" s="1"/>
  <c r="G59" i="2"/>
  <c r="I59" i="11"/>
  <c r="O59" i="7"/>
  <c r="Z59" i="2" l="1"/>
  <c r="C59" i="8"/>
  <c r="P59" i="7"/>
  <c r="F59" i="9"/>
  <c r="AO60" i="1"/>
  <c r="BJ60" i="1"/>
  <c r="Y59" i="2" l="1"/>
  <c r="X59" i="2" s="1"/>
  <c r="W59" i="2" s="1"/>
  <c r="C60" i="2" s="1"/>
  <c r="I60" i="2" l="1"/>
  <c r="AA60" i="1" s="1"/>
  <c r="S60" i="1" s="1"/>
  <c r="H61" i="1" s="1"/>
  <c r="H60" i="2"/>
  <c r="F60" i="1"/>
  <c r="S60" i="8"/>
  <c r="F60" i="2"/>
  <c r="J60" i="11" l="1"/>
  <c r="G60" i="2"/>
  <c r="AP60" i="1"/>
  <c r="T60" i="1" s="1"/>
  <c r="I61" i="1" s="1"/>
  <c r="T60" i="8"/>
  <c r="W60" i="8" s="1"/>
  <c r="V60" i="8"/>
  <c r="AC61" i="7"/>
  <c r="AJ61" i="7" s="1"/>
  <c r="AK61" i="5"/>
  <c r="V61" i="10"/>
  <c r="BI61" i="1"/>
  <c r="C61" i="11"/>
  <c r="AP61" i="8"/>
  <c r="I60" i="11"/>
  <c r="O60" i="7"/>
  <c r="Z60" i="2" l="1"/>
  <c r="C60" i="8"/>
  <c r="BJ61" i="1"/>
  <c r="AO61" i="1"/>
  <c r="P60" i="7"/>
  <c r="F60" i="9"/>
  <c r="Y60" i="2" l="1"/>
  <c r="X60" i="2" s="1"/>
  <c r="W60" i="2" s="1"/>
  <c r="C61" i="2" s="1"/>
  <c r="S61" i="8" l="1"/>
  <c r="F61" i="1"/>
  <c r="H61" i="2"/>
  <c r="F61" i="2"/>
  <c r="I61" i="2"/>
  <c r="AA61" i="1" s="1"/>
  <c r="S61" i="1" s="1"/>
  <c r="H62" i="1" s="1"/>
  <c r="AC62" i="7" l="1"/>
  <c r="AJ62" i="7" s="1"/>
  <c r="AK62" i="5"/>
  <c r="C62" i="11"/>
  <c r="BI62" i="1"/>
  <c r="AP62" i="8"/>
  <c r="V62" i="10"/>
  <c r="J61" i="11"/>
  <c r="AP61" i="1"/>
  <c r="T61" i="1" s="1"/>
  <c r="I62" i="1" s="1"/>
  <c r="G61" i="2"/>
  <c r="I61" i="11"/>
  <c r="O61" i="7"/>
  <c r="V61" i="8"/>
  <c r="T61" i="8"/>
  <c r="W61" i="8" s="1"/>
  <c r="C61" i="8" l="1"/>
  <c r="Z61" i="2"/>
  <c r="P61" i="7"/>
  <c r="F61" i="9"/>
  <c r="AO62" i="1"/>
  <c r="BJ62" i="1"/>
  <c r="Y61" i="2" l="1"/>
  <c r="X61" i="2" s="1"/>
  <c r="W61" i="2" s="1"/>
  <c r="C62" i="2" s="1"/>
  <c r="S62" i="8" l="1"/>
  <c r="H62" i="2"/>
  <c r="F62" i="1"/>
  <c r="F62" i="2"/>
  <c r="I62" i="2"/>
  <c r="O62" i="7" l="1"/>
  <c r="I62" i="11"/>
  <c r="J62" i="11"/>
  <c r="AP62" i="1"/>
  <c r="T62" i="1" s="1"/>
  <c r="I63" i="1" s="1"/>
  <c r="G62" i="2"/>
  <c r="AA62" i="1"/>
  <c r="S62" i="1" s="1"/>
  <c r="H63" i="1" s="1"/>
  <c r="V62" i="8"/>
  <c r="T62" i="8"/>
  <c r="W62" i="8" s="1"/>
  <c r="AC63" i="7" l="1"/>
  <c r="AJ63" i="7" s="1"/>
  <c r="AK63" i="5"/>
  <c r="AP63" i="8"/>
  <c r="C63" i="11"/>
  <c r="BI63" i="1"/>
  <c r="V63" i="10"/>
  <c r="Z62" i="2"/>
  <c r="C62" i="8"/>
  <c r="AO63" i="1"/>
  <c r="BJ63" i="1"/>
  <c r="P62" i="7"/>
  <c r="F62" i="9"/>
  <c r="Y62" i="2" l="1"/>
  <c r="X62" i="2" s="1"/>
  <c r="W62" i="2" s="1"/>
  <c r="C63" i="2" s="1"/>
  <c r="I63" i="2" l="1"/>
  <c r="AA63" i="1" s="1"/>
  <c r="S63" i="1" s="1"/>
  <c r="H64" i="1" s="1"/>
  <c r="H63" i="2"/>
  <c r="F63" i="1"/>
  <c r="S63" i="8"/>
  <c r="F63" i="2"/>
  <c r="J63" i="11" l="1"/>
  <c r="G63" i="2"/>
  <c r="AP63" i="1"/>
  <c r="T63" i="1" s="1"/>
  <c r="I64" i="1" s="1"/>
  <c r="V63" i="8"/>
  <c r="T63" i="8"/>
  <c r="W63" i="8" s="1"/>
  <c r="I55" i="4"/>
  <c r="AP64" i="8"/>
  <c r="AC64" i="7"/>
  <c r="AJ64" i="7" s="1"/>
  <c r="AK64" i="5"/>
  <c r="C64" i="11"/>
  <c r="BI64" i="1"/>
  <c r="V64" i="10"/>
  <c r="J55" i="4"/>
  <c r="I63" i="11"/>
  <c r="O63" i="7"/>
  <c r="BJ64" i="1" l="1"/>
  <c r="AO64" i="1"/>
  <c r="C63" i="8"/>
  <c r="Z63" i="2"/>
  <c r="P63" i="7"/>
  <c r="F63" i="9"/>
  <c r="Y63" i="2" l="1"/>
  <c r="X63" i="2" s="1"/>
  <c r="W63" i="2" s="1"/>
  <c r="C64" i="2" s="1"/>
  <c r="I64" i="2" l="1"/>
  <c r="AA64" i="1" s="1"/>
  <c r="S64" i="1" s="1"/>
  <c r="H65" i="1" s="1"/>
  <c r="F64" i="1"/>
  <c r="F64" i="2"/>
  <c r="H64" i="2"/>
  <c r="S64" i="8"/>
  <c r="AC65" i="7" l="1"/>
  <c r="AJ65" i="7" s="1"/>
  <c r="C65" i="11"/>
  <c r="V65" i="10"/>
  <c r="BI65" i="1"/>
  <c r="AK65" i="5"/>
  <c r="AP65" i="8"/>
  <c r="AP64" i="1"/>
  <c r="T64" i="1" s="1"/>
  <c r="I65" i="1" s="1"/>
  <c r="J64" i="11"/>
  <c r="G64" i="2"/>
  <c r="V64" i="8"/>
  <c r="T64" i="8"/>
  <c r="W64" i="8" s="1"/>
  <c r="I64" i="11"/>
  <c r="O64" i="7"/>
  <c r="BJ65" i="1" l="1"/>
  <c r="AO65" i="1"/>
  <c r="P64" i="7"/>
  <c r="F64" i="9"/>
  <c r="Z64" i="2"/>
  <c r="C64" i="8"/>
  <c r="Y64" i="2" l="1"/>
  <c r="X64" i="2" s="1"/>
  <c r="W64" i="2" s="1"/>
  <c r="C65" i="2" s="1"/>
  <c r="H65" i="2" l="1"/>
  <c r="F65" i="1"/>
  <c r="I65" i="2"/>
  <c r="AA65" i="1" s="1"/>
  <c r="S65" i="1" s="1"/>
  <c r="H66" i="1" s="1"/>
  <c r="S65" i="8"/>
  <c r="F65" i="2"/>
  <c r="AC66" i="7" l="1"/>
  <c r="AJ66" i="7" s="1"/>
  <c r="AK66" i="5"/>
  <c r="C66" i="11"/>
  <c r="AP66" i="8"/>
  <c r="BI66" i="1"/>
  <c r="V66" i="10"/>
  <c r="AP65" i="1"/>
  <c r="T65" i="1" s="1"/>
  <c r="I66" i="1" s="1"/>
  <c r="J65" i="11"/>
  <c r="G65" i="2"/>
  <c r="V65" i="8"/>
  <c r="T65" i="8"/>
  <c r="W65" i="8" s="1"/>
  <c r="I65" i="11"/>
  <c r="O65" i="7"/>
  <c r="P65" i="7" l="1"/>
  <c r="F65" i="9"/>
  <c r="AO66" i="1"/>
  <c r="BJ66" i="1"/>
  <c r="Z65" i="2"/>
  <c r="C65" i="8"/>
  <c r="Y65" i="2" l="1"/>
  <c r="X65" i="2" s="1"/>
  <c r="W65" i="2" s="1"/>
  <c r="C66" i="2" s="1"/>
  <c r="F66" i="2" l="1"/>
  <c r="H66" i="2"/>
  <c r="S66" i="8"/>
  <c r="I66" i="2"/>
  <c r="F66" i="1"/>
  <c r="O66" i="7" l="1"/>
  <c r="I66" i="11"/>
  <c r="AA66" i="1"/>
  <c r="S66" i="1" s="1"/>
  <c r="H67" i="1" s="1"/>
  <c r="V66" i="8"/>
  <c r="T66" i="8"/>
  <c r="W66" i="8" s="1"/>
  <c r="AP66" i="1"/>
  <c r="T66" i="1" s="1"/>
  <c r="I67" i="1" s="1"/>
  <c r="J66" i="11"/>
  <c r="G66" i="2"/>
  <c r="C66" i="8" l="1"/>
  <c r="Z66" i="2"/>
  <c r="F66" i="9"/>
  <c r="P66" i="7"/>
  <c r="BJ67" i="1"/>
  <c r="AO67" i="1"/>
  <c r="I56" i="4"/>
  <c r="AP67" i="8"/>
  <c r="M26" i="7" s="1"/>
  <c r="J56" i="4"/>
  <c r="C67" i="11"/>
  <c r="BI67" i="1"/>
  <c r="V67" i="10"/>
  <c r="AC67" i="7"/>
  <c r="AJ67" i="7" s="1"/>
  <c r="AK67" i="5"/>
  <c r="Y66" i="2" l="1"/>
  <c r="X66" i="2" s="1"/>
  <c r="W66" i="2" s="1"/>
  <c r="C67" i="2" s="1"/>
  <c r="S67" i="8" l="1"/>
  <c r="F67" i="2"/>
  <c r="F67" i="1"/>
  <c r="H67" i="2"/>
  <c r="I67" i="2"/>
  <c r="O67" i="7" l="1"/>
  <c r="I67" i="11"/>
  <c r="AA67" i="1"/>
  <c r="S67" i="1" s="1"/>
  <c r="H68" i="1" s="1"/>
  <c r="AP67" i="1"/>
  <c r="T67" i="1" s="1"/>
  <c r="I68" i="1" s="1"/>
  <c r="G67" i="2"/>
  <c r="J67" i="11"/>
  <c r="V67" i="8"/>
  <c r="T67" i="8"/>
  <c r="W67" i="8" s="1"/>
  <c r="BJ68" i="1" l="1"/>
  <c r="AO68" i="1"/>
  <c r="AK68" i="5"/>
  <c r="C68" i="11"/>
  <c r="BI68" i="1"/>
  <c r="V68" i="10"/>
  <c r="AP68" i="8"/>
  <c r="AC68" i="7"/>
  <c r="AJ68" i="7" s="1"/>
  <c r="P67" i="7"/>
  <c r="F67" i="9"/>
  <c r="C67" i="8"/>
  <c r="Z67" i="2"/>
  <c r="Y67" i="2" l="1"/>
  <c r="X67" i="2" s="1"/>
  <c r="W67" i="2" s="1"/>
  <c r="C68" i="2" s="1"/>
  <c r="S68" i="8" l="1"/>
  <c r="H68" i="2"/>
  <c r="I68" i="2"/>
  <c r="AA68" i="1" s="1"/>
  <c r="S68" i="1" s="1"/>
  <c r="H69" i="1" s="1"/>
  <c r="F68" i="2"/>
  <c r="F68" i="1"/>
  <c r="V69" i="10" l="1"/>
  <c r="BI69" i="1"/>
  <c r="AP69" i="8"/>
  <c r="AK69" i="5"/>
  <c r="C69" i="11"/>
  <c r="AC69" i="7"/>
  <c r="AJ69" i="7" s="1"/>
  <c r="J68" i="11"/>
  <c r="G68" i="2"/>
  <c r="AP68" i="1"/>
  <c r="T68" i="1" s="1"/>
  <c r="I69" i="1" s="1"/>
  <c r="I68" i="11"/>
  <c r="O68" i="7"/>
  <c r="V68" i="8"/>
  <c r="T68" i="8"/>
  <c r="W68" i="8" s="1"/>
  <c r="F68" i="9" l="1"/>
  <c r="P68" i="7"/>
  <c r="Z68" i="2"/>
  <c r="C68" i="8"/>
  <c r="AO69" i="1"/>
  <c r="BJ69" i="1"/>
  <c r="Y68" i="2" l="1"/>
  <c r="X68" i="2" s="1"/>
  <c r="W68" i="2" s="1"/>
  <c r="C69" i="2" s="1"/>
  <c r="I69" i="2" l="1"/>
  <c r="AA69" i="1" s="1"/>
  <c r="S69" i="1" s="1"/>
  <c r="H70" i="1" s="1"/>
  <c r="F69" i="1"/>
  <c r="S69" i="8"/>
  <c r="F69" i="2"/>
  <c r="H69" i="2"/>
  <c r="AK70" i="5" l="1"/>
  <c r="V70" i="10"/>
  <c r="AP70" i="8"/>
  <c r="AC70" i="7"/>
  <c r="AJ70" i="7" s="1"/>
  <c r="C70" i="11"/>
  <c r="BI70" i="1"/>
  <c r="J69" i="11"/>
  <c r="AP69" i="1"/>
  <c r="T69" i="1" s="1"/>
  <c r="I70" i="1" s="1"/>
  <c r="G69" i="2"/>
  <c r="T69" i="8"/>
  <c r="W69" i="8" s="1"/>
  <c r="V69" i="8"/>
  <c r="I69" i="11"/>
  <c r="O69" i="7"/>
  <c r="AO70" i="1" l="1"/>
  <c r="BJ70" i="1"/>
  <c r="P69" i="7"/>
  <c r="F69" i="9"/>
  <c r="Z69" i="2"/>
  <c r="C69" i="8"/>
  <c r="Y69" i="2" l="1"/>
  <c r="X69" i="2" s="1"/>
  <c r="W69" i="2" s="1"/>
  <c r="C70" i="2" s="1"/>
  <c r="F70" i="1" l="1"/>
  <c r="H70" i="2"/>
  <c r="S70" i="8"/>
  <c r="I70" i="2"/>
  <c r="F70" i="2"/>
  <c r="AP70" i="1" l="1"/>
  <c r="T70" i="1" s="1"/>
  <c r="I71" i="1" s="1"/>
  <c r="G70" i="2"/>
  <c r="J70" i="11"/>
  <c r="T70" i="8"/>
  <c r="W70" i="8" s="1"/>
  <c r="V70" i="8"/>
  <c r="I70" i="11"/>
  <c r="O70" i="7"/>
  <c r="AA70" i="1"/>
  <c r="S70" i="1" s="1"/>
  <c r="H71" i="1" s="1"/>
  <c r="AK71" i="5" l="1"/>
  <c r="BI71" i="1"/>
  <c r="AP71" i="8"/>
  <c r="V71" i="10"/>
  <c r="C71" i="11"/>
  <c r="AC71" i="7"/>
  <c r="AJ71" i="7" s="1"/>
  <c r="F70" i="9"/>
  <c r="P70" i="7"/>
  <c r="Z70" i="2"/>
  <c r="C70" i="8"/>
  <c r="BJ71" i="1"/>
  <c r="AO71" i="1"/>
  <c r="Y70" i="2" l="1"/>
  <c r="X70" i="2" s="1"/>
  <c r="W70" i="2" s="1"/>
  <c r="C71" i="2" s="1"/>
  <c r="S71" i="8" l="1"/>
  <c r="H71" i="2"/>
  <c r="F71" i="2"/>
  <c r="F71" i="1"/>
  <c r="I71" i="2"/>
  <c r="AA71" i="1" s="1"/>
  <c r="S71" i="1" s="1"/>
  <c r="H72" i="1" s="1"/>
  <c r="AP72" i="8" l="1"/>
  <c r="BI72" i="1"/>
  <c r="C72" i="11"/>
  <c r="AK72" i="5"/>
  <c r="V72" i="10"/>
  <c r="AC72" i="7"/>
  <c r="AJ72" i="7" s="1"/>
  <c r="I71" i="11"/>
  <c r="O71" i="7"/>
  <c r="G71" i="2"/>
  <c r="AP71" i="1"/>
  <c r="T71" i="1" s="1"/>
  <c r="I72" i="1" s="1"/>
  <c r="J71" i="11"/>
  <c r="T71" i="8"/>
  <c r="W71" i="8" s="1"/>
  <c r="V71" i="8"/>
  <c r="F71" i="9" l="1"/>
  <c r="P71" i="7"/>
  <c r="AO72" i="1"/>
  <c r="BJ72" i="1"/>
  <c r="Z71" i="2"/>
  <c r="C71" i="8"/>
  <c r="Y71" i="2" l="1"/>
  <c r="X71" i="2" s="1"/>
  <c r="W71" i="2" s="1"/>
  <c r="C72" i="2" s="1"/>
  <c r="S72" i="8" l="1"/>
  <c r="F72" i="1"/>
  <c r="I72" i="2"/>
  <c r="H72" i="2"/>
  <c r="F72" i="2"/>
  <c r="J72" i="11" l="1"/>
  <c r="AP72" i="1"/>
  <c r="T72" i="1" s="1"/>
  <c r="I73" i="1" s="1"/>
  <c r="G72" i="2"/>
  <c r="T72" i="8"/>
  <c r="W72" i="8" s="1"/>
  <c r="V72" i="8"/>
  <c r="I72" i="11"/>
  <c r="O72" i="7"/>
  <c r="AA72" i="1"/>
  <c r="S72" i="1" s="1"/>
  <c r="H73" i="1" s="1"/>
  <c r="AP73" i="8" l="1"/>
  <c r="V73" i="10"/>
  <c r="BI73" i="1"/>
  <c r="C73" i="11"/>
  <c r="AC73" i="7"/>
  <c r="AJ73" i="7" s="1"/>
  <c r="AK73" i="5"/>
  <c r="AO73" i="1"/>
  <c r="BJ73" i="1"/>
  <c r="Z72" i="2"/>
  <c r="C72" i="8"/>
  <c r="F72" i="9"/>
  <c r="P72" i="7"/>
  <c r="Y72" i="2" l="1"/>
  <c r="X72" i="2" s="1"/>
  <c r="W72" i="2" s="1"/>
  <c r="C73" i="2" s="1"/>
  <c r="H73" i="2" l="1"/>
  <c r="I73" i="2"/>
  <c r="AA73" i="1" s="1"/>
  <c r="S73" i="1" s="1"/>
  <c r="H74" i="1" s="1"/>
  <c r="F73" i="1"/>
  <c r="F73" i="2"/>
  <c r="S73" i="8"/>
  <c r="C74" i="11" l="1"/>
  <c r="AK74" i="5"/>
  <c r="BI74" i="1"/>
  <c r="V74" i="10"/>
  <c r="AP74" i="8"/>
  <c r="AC74" i="7"/>
  <c r="AJ74" i="7" s="1"/>
  <c r="V73" i="8"/>
  <c r="T73" i="8"/>
  <c r="W73" i="8" s="1"/>
  <c r="I73" i="11"/>
  <c r="O73" i="7"/>
  <c r="J73" i="11"/>
  <c r="G73" i="2"/>
  <c r="AP73" i="1"/>
  <c r="T73" i="1" s="1"/>
  <c r="I74" i="1" s="1"/>
  <c r="P73" i="7" l="1"/>
  <c r="F73" i="9"/>
  <c r="Z73" i="2"/>
  <c r="C73" i="8"/>
  <c r="AO74" i="1"/>
  <c r="BJ74" i="1"/>
  <c r="Y73" i="2" l="1"/>
  <c r="X73" i="2" s="1"/>
  <c r="W73" i="2" s="1"/>
  <c r="C74" i="2" s="1"/>
  <c r="F74" i="1" l="1"/>
  <c r="H74" i="2"/>
  <c r="F74" i="2"/>
  <c r="I74" i="2"/>
  <c r="S74" i="8"/>
  <c r="I74" i="11" l="1"/>
  <c r="O74" i="7"/>
  <c r="J74" i="11"/>
  <c r="G74" i="2"/>
  <c r="AP74" i="1"/>
  <c r="T74" i="1" s="1"/>
  <c r="I75" i="1" s="1"/>
  <c r="T74" i="8"/>
  <c r="W74" i="8" s="1"/>
  <c r="V74" i="8"/>
  <c r="AA74" i="1"/>
  <c r="S74" i="1" s="1"/>
  <c r="H75" i="1" s="1"/>
  <c r="BJ75" i="1" l="1"/>
  <c r="AO75" i="1"/>
  <c r="BI75" i="1"/>
  <c r="AP75" i="8"/>
  <c r="V75" i="10"/>
  <c r="C75" i="11"/>
  <c r="AK75" i="5"/>
  <c r="AC75" i="7"/>
  <c r="AJ75" i="7" s="1"/>
  <c r="C74" i="8"/>
  <c r="Z74" i="2"/>
  <c r="F74" i="9"/>
  <c r="P74" i="7"/>
  <c r="Y74" i="2" l="1"/>
  <c r="X74" i="2" s="1"/>
  <c r="W74" i="2" s="1"/>
  <c r="C75" i="2" s="1"/>
  <c r="F75" i="2" l="1"/>
  <c r="F75" i="1"/>
  <c r="H75" i="2"/>
  <c r="I75" i="2"/>
  <c r="S75" i="8"/>
  <c r="I75" i="11" l="1"/>
  <c r="O75" i="7"/>
  <c r="AA75" i="1"/>
  <c r="S75" i="1" s="1"/>
  <c r="H76" i="1" s="1"/>
  <c r="T75" i="8"/>
  <c r="W75" i="8" s="1"/>
  <c r="V75" i="8"/>
  <c r="J75" i="11"/>
  <c r="AP75" i="1"/>
  <c r="T75" i="1" s="1"/>
  <c r="I76" i="1" s="1"/>
  <c r="G75" i="2"/>
  <c r="C75" i="8" l="1"/>
  <c r="Z75" i="2"/>
  <c r="F75" i="9"/>
  <c r="P75" i="7"/>
  <c r="B61" i="4"/>
  <c r="BJ76" i="1"/>
  <c r="AO76" i="1"/>
  <c r="AK76" i="5"/>
  <c r="BI76" i="1"/>
  <c r="V76" i="10"/>
  <c r="J57" i="4"/>
  <c r="AP76" i="8"/>
  <c r="C76" i="11"/>
  <c r="I57" i="4"/>
  <c r="B60" i="4"/>
  <c r="AC76" i="7"/>
  <c r="AJ76" i="7" s="1"/>
  <c r="Y75" i="2" l="1"/>
  <c r="X75" i="2" s="1"/>
  <c r="W75" i="2" s="1"/>
  <c r="C76" i="2" s="1"/>
  <c r="F42" i="4" l="1"/>
  <c r="F76" i="2"/>
  <c r="S76" i="8"/>
  <c r="F76" i="1"/>
  <c r="H76" i="2"/>
  <c r="B54" i="4"/>
  <c r="I76" i="2"/>
  <c r="O76" i="7" l="1"/>
  <c r="I76" i="11"/>
  <c r="AA76" i="1"/>
  <c r="S76" i="1" s="1"/>
  <c r="T76" i="8"/>
  <c r="W76" i="8" s="1"/>
  <c r="V76" i="8"/>
  <c r="G76" i="2"/>
  <c r="J76" i="11"/>
  <c r="AP76" i="1"/>
  <c r="T76" i="1" s="1"/>
  <c r="I77" i="1" s="1"/>
  <c r="H42" i="4"/>
  <c r="H43" i="4" s="1"/>
  <c r="F43" i="4"/>
  <c r="F76" i="9" l="1"/>
  <c r="P76" i="7"/>
  <c r="M27" i="7"/>
  <c r="B59" i="4"/>
  <c r="H77" i="1"/>
  <c r="AO77" i="1"/>
  <c r="BJ77" i="1"/>
  <c r="C76" i="8"/>
  <c r="Z76" i="2"/>
  <c r="Y76" i="2" l="1"/>
  <c r="X76" i="2" s="1"/>
  <c r="W76" i="2" s="1"/>
  <c r="C77" i="2" s="1"/>
  <c r="AC77" i="7"/>
  <c r="AJ77" i="7" s="1"/>
  <c r="AK77" i="5"/>
  <c r="V77" i="10"/>
  <c r="C77" i="11"/>
  <c r="BI77" i="1"/>
  <c r="AP77" i="8"/>
  <c r="S77" i="8" l="1"/>
  <c r="I77" i="2"/>
  <c r="AA77" i="1" s="1"/>
  <c r="S77" i="1" s="1"/>
  <c r="H78" i="1" s="1"/>
  <c r="H77" i="2"/>
  <c r="F77" i="1"/>
  <c r="F77" i="2"/>
  <c r="AK78" i="5" l="1"/>
  <c r="V78" i="10"/>
  <c r="C78" i="11"/>
  <c r="BI78" i="1"/>
  <c r="AP78" i="8"/>
  <c r="AC78" i="7"/>
  <c r="AJ78" i="7" s="1"/>
  <c r="I77" i="11"/>
  <c r="O77" i="7"/>
  <c r="J77" i="11"/>
  <c r="G77" i="2"/>
  <c r="AP77" i="1"/>
  <c r="T77" i="1" s="1"/>
  <c r="I78" i="1" s="1"/>
  <c r="T77" i="8"/>
  <c r="W77" i="8" s="1"/>
  <c r="V77" i="8"/>
  <c r="Z77" i="2" l="1"/>
  <c r="C77" i="8"/>
  <c r="P77" i="7"/>
  <c r="F77" i="9"/>
  <c r="BJ78" i="1"/>
  <c r="AO78" i="1"/>
  <c r="Y77" i="2" l="1"/>
  <c r="X77" i="2" s="1"/>
  <c r="W77" i="2" s="1"/>
  <c r="C78" i="2" s="1"/>
  <c r="S78" i="8" l="1"/>
  <c r="I78" i="2"/>
  <c r="AA78" i="1" s="1"/>
  <c r="S78" i="1" s="1"/>
  <c r="H79" i="1" s="1"/>
  <c r="F78" i="1"/>
  <c r="H78" i="2"/>
  <c r="F78" i="2"/>
  <c r="AP78" i="1" l="1"/>
  <c r="T78" i="1" s="1"/>
  <c r="I79" i="1" s="1"/>
  <c r="J78" i="11"/>
  <c r="G78" i="2"/>
  <c r="AK79" i="5"/>
  <c r="V79" i="10"/>
  <c r="BI79" i="1"/>
  <c r="C79" i="11"/>
  <c r="AP79" i="8"/>
  <c r="AC79" i="7"/>
  <c r="AJ79" i="7" s="1"/>
  <c r="I78" i="11"/>
  <c r="O78" i="7"/>
  <c r="T78" i="8"/>
  <c r="W78" i="8" s="1"/>
  <c r="V78" i="8"/>
  <c r="Z78" i="2" l="1"/>
  <c r="C78" i="8"/>
  <c r="P78" i="7"/>
  <c r="F78" i="9"/>
  <c r="BJ79" i="1"/>
  <c r="AO79" i="1"/>
  <c r="Y78" i="2" l="1"/>
  <c r="X78" i="2" s="1"/>
  <c r="W78" i="2" s="1"/>
  <c r="C79" i="2" s="1"/>
  <c r="I79" i="2" l="1"/>
  <c r="AA79" i="1" s="1"/>
  <c r="S79" i="1" s="1"/>
  <c r="H80" i="1" s="1"/>
  <c r="S79" i="8"/>
  <c r="H79" i="2"/>
  <c r="F79" i="1"/>
  <c r="F79" i="2"/>
  <c r="AP79" i="1" l="1"/>
  <c r="T79" i="1" s="1"/>
  <c r="I80" i="1" s="1"/>
  <c r="J79" i="11"/>
  <c r="G79" i="2"/>
  <c r="T79" i="8"/>
  <c r="W79" i="8" s="1"/>
  <c r="V79" i="8"/>
  <c r="AK80" i="5"/>
  <c r="V80" i="10"/>
  <c r="BI80" i="1"/>
  <c r="C80" i="11"/>
  <c r="AP80" i="8"/>
  <c r="AC80" i="7"/>
  <c r="AJ80" i="7" s="1"/>
  <c r="I79" i="11"/>
  <c r="O79" i="7"/>
  <c r="C79" i="8" l="1"/>
  <c r="Z79" i="2"/>
  <c r="P79" i="7"/>
  <c r="F79" i="9"/>
  <c r="BJ80" i="1"/>
  <c r="AO80" i="1"/>
  <c r="Y79" i="2" l="1"/>
  <c r="X79" i="2" s="1"/>
  <c r="W79" i="2" s="1"/>
  <c r="C80" i="2" s="1"/>
  <c r="F80" i="2" l="1"/>
  <c r="I80" i="2"/>
  <c r="AA80" i="1" s="1"/>
  <c r="S80" i="1" s="1"/>
  <c r="H81" i="1" s="1"/>
  <c r="S80" i="8"/>
  <c r="H80" i="2"/>
  <c r="F80" i="1"/>
  <c r="V81" i="10" l="1"/>
  <c r="AP81" i="8"/>
  <c r="AC81" i="7"/>
  <c r="AJ81" i="7" s="1"/>
  <c r="AK81" i="5"/>
  <c r="C81" i="11"/>
  <c r="BI81" i="1"/>
  <c r="I80" i="11"/>
  <c r="O80" i="7"/>
  <c r="T80" i="8"/>
  <c r="W80" i="8" s="1"/>
  <c r="V80" i="8"/>
  <c r="AP80" i="1"/>
  <c r="T80" i="1" s="1"/>
  <c r="I81" i="1" s="1"/>
  <c r="G80" i="2"/>
  <c r="J80" i="11"/>
  <c r="AO81" i="1" l="1"/>
  <c r="BJ81" i="1"/>
  <c r="P80" i="7"/>
  <c r="F80" i="9"/>
  <c r="C80" i="8"/>
  <c r="Z80" i="2"/>
  <c r="Y80" i="2" l="1"/>
  <c r="X80" i="2" s="1"/>
  <c r="W80" i="2" s="1"/>
  <c r="C81" i="2" s="1"/>
  <c r="I81" i="2" l="1"/>
  <c r="AA81" i="1" s="1"/>
  <c r="S81" i="1" s="1"/>
  <c r="H82" i="1" s="1"/>
  <c r="S81" i="8"/>
  <c r="F81" i="1"/>
  <c r="H81" i="2"/>
  <c r="F81" i="2"/>
  <c r="AP81" i="1" l="1"/>
  <c r="T81" i="1" s="1"/>
  <c r="I82" i="1" s="1"/>
  <c r="G81" i="2"/>
  <c r="J81" i="11"/>
  <c r="V81" i="8"/>
  <c r="T81" i="8"/>
  <c r="W81" i="8" s="1"/>
  <c r="AK82" i="5"/>
  <c r="V82" i="10"/>
  <c r="C82" i="11"/>
  <c r="BI82" i="1"/>
  <c r="AP82" i="8"/>
  <c r="AC82" i="7"/>
  <c r="AJ82" i="7" s="1"/>
  <c r="I81" i="11"/>
  <c r="O81" i="7"/>
  <c r="P81" i="7" l="1"/>
  <c r="F81" i="9"/>
  <c r="C81" i="8"/>
  <c r="Z81" i="2"/>
  <c r="AO82" i="1"/>
  <c r="BJ82" i="1"/>
  <c r="Y81" i="2" l="1"/>
  <c r="X81" i="2" s="1"/>
  <c r="W81" i="2" s="1"/>
  <c r="C82" i="2" s="1"/>
  <c r="F82" i="2" l="1"/>
  <c r="I82" i="2"/>
  <c r="AA82" i="1" s="1"/>
  <c r="S82" i="1" s="1"/>
  <c r="H83" i="1" s="1"/>
  <c r="S82" i="8"/>
  <c r="F82" i="1"/>
  <c r="H82" i="2"/>
  <c r="BI83" i="1" l="1"/>
  <c r="AC83" i="7"/>
  <c r="AJ83" i="7" s="1"/>
  <c r="AK83" i="5"/>
  <c r="C83" i="11"/>
  <c r="V83" i="10"/>
  <c r="AP83" i="8"/>
  <c r="I82" i="11"/>
  <c r="O82" i="7"/>
  <c r="V82" i="8"/>
  <c r="T82" i="8"/>
  <c r="W82" i="8" s="1"/>
  <c r="G82" i="2"/>
  <c r="J82" i="11"/>
  <c r="AP82" i="1"/>
  <c r="T82" i="1" s="1"/>
  <c r="I83" i="1" s="1"/>
  <c r="C82" i="8" l="1"/>
  <c r="Z82" i="2"/>
  <c r="AO83" i="1"/>
  <c r="BJ83" i="1"/>
  <c r="P82" i="7"/>
  <c r="F82" i="9"/>
  <c r="Y82" i="2" l="1"/>
  <c r="X82" i="2" s="1"/>
  <c r="W82" i="2" s="1"/>
  <c r="C83" i="2" s="1"/>
  <c r="I83" i="2" l="1"/>
  <c r="AA83" i="1" s="1"/>
  <c r="S83" i="1" s="1"/>
  <c r="H84" i="1" s="1"/>
  <c r="S83" i="8"/>
  <c r="H83" i="2"/>
  <c r="F83" i="1"/>
  <c r="F83" i="2"/>
  <c r="J83" i="11" l="1"/>
  <c r="G83" i="2"/>
  <c r="AP83" i="1"/>
  <c r="T83" i="1" s="1"/>
  <c r="I84" i="1" s="1"/>
  <c r="V83" i="8"/>
  <c r="T83" i="8"/>
  <c r="W83" i="8" s="1"/>
  <c r="AK84" i="5"/>
  <c r="C84" i="11"/>
  <c r="V84" i="10"/>
  <c r="BI84" i="1"/>
  <c r="AP84" i="8"/>
  <c r="AC84" i="7"/>
  <c r="AJ84" i="7" s="1"/>
  <c r="I83" i="11"/>
  <c r="O83" i="7"/>
  <c r="C83" i="8" l="1"/>
  <c r="Z83" i="2"/>
  <c r="BJ84" i="1"/>
  <c r="AO84" i="1"/>
  <c r="P83" i="7"/>
  <c r="F83" i="9"/>
  <c r="Y83" i="2" l="1"/>
  <c r="X83" i="2" s="1"/>
  <c r="W83" i="2" s="1"/>
  <c r="C84" i="2" s="1"/>
  <c r="S84" i="8" l="1"/>
  <c r="I84" i="2"/>
  <c r="AA84" i="1" s="1"/>
  <c r="S84" i="1" s="1"/>
  <c r="H85" i="1" s="1"/>
  <c r="F84" i="1"/>
  <c r="H84" i="2"/>
  <c r="F84" i="2"/>
  <c r="AP84" i="1" l="1"/>
  <c r="T84" i="1" s="1"/>
  <c r="I85" i="1" s="1"/>
  <c r="J84" i="11"/>
  <c r="G84" i="2"/>
  <c r="AK85" i="5"/>
  <c r="C85" i="11"/>
  <c r="V85" i="10"/>
  <c r="AP85" i="8"/>
  <c r="BI85" i="1"/>
  <c r="AC85" i="7"/>
  <c r="AJ85" i="7" s="1"/>
  <c r="I84" i="11"/>
  <c r="O84" i="7"/>
  <c r="T84" i="8"/>
  <c r="W84" i="8" s="1"/>
  <c r="V84" i="8"/>
  <c r="Z84" i="2" l="1"/>
  <c r="C84" i="8"/>
  <c r="P84" i="7"/>
  <c r="F84" i="9"/>
  <c r="BJ85" i="1"/>
  <c r="AO85" i="1"/>
  <c r="Y84" i="2" l="1"/>
  <c r="X84" i="2" s="1"/>
  <c r="W84" i="2" s="1"/>
  <c r="C85" i="2" s="1"/>
  <c r="I85" i="2" l="1"/>
  <c r="S85" i="8"/>
  <c r="F85" i="1"/>
  <c r="H85" i="2"/>
  <c r="AA85" i="1"/>
  <c r="S85" i="1" s="1"/>
  <c r="H86" i="1" s="1"/>
  <c r="F85" i="2"/>
  <c r="AP85" i="1" l="1"/>
  <c r="T85" i="1" s="1"/>
  <c r="I86" i="1" s="1"/>
  <c r="G85" i="2"/>
  <c r="J85" i="11"/>
  <c r="AK86" i="5"/>
  <c r="C86" i="11"/>
  <c r="BI86" i="1"/>
  <c r="AP86" i="8"/>
  <c r="V86" i="10"/>
  <c r="AC86" i="7"/>
  <c r="AJ86" i="7" s="1"/>
  <c r="V85" i="8"/>
  <c r="T85" i="8"/>
  <c r="W85" i="8" s="1"/>
  <c r="I85" i="11"/>
  <c r="O85" i="7"/>
  <c r="P85" i="7" l="1"/>
  <c r="F85" i="9"/>
  <c r="C85" i="8"/>
  <c r="Z85" i="2"/>
  <c r="AO86" i="1"/>
  <c r="BJ86" i="1"/>
  <c r="Y85" i="2" l="1"/>
  <c r="X85" i="2" s="1"/>
  <c r="W85" i="2" s="1"/>
  <c r="C86" i="2" s="1"/>
  <c r="S86" i="8" l="1"/>
  <c r="I86" i="2"/>
  <c r="AA86" i="1" s="1"/>
  <c r="S86" i="1" s="1"/>
  <c r="H87" i="1" s="1"/>
  <c r="H86" i="2"/>
  <c r="F86" i="1"/>
  <c r="F86" i="2"/>
  <c r="AP86" i="1" l="1"/>
  <c r="T86" i="1" s="1"/>
  <c r="I87" i="1" s="1"/>
  <c r="J86" i="11"/>
  <c r="G86" i="2"/>
  <c r="AK87" i="5"/>
  <c r="BI87" i="1"/>
  <c r="V87" i="10"/>
  <c r="C87" i="11"/>
  <c r="AP87" i="8"/>
  <c r="AC87" i="7"/>
  <c r="AJ87" i="7" s="1"/>
  <c r="O86" i="7"/>
  <c r="I86" i="11"/>
  <c r="V86" i="8"/>
  <c r="T86" i="8"/>
  <c r="W86" i="8" s="1"/>
  <c r="C86" i="8" l="1"/>
  <c r="Z86" i="2"/>
  <c r="P86" i="7"/>
  <c r="F86" i="9"/>
  <c r="BJ87" i="1"/>
  <c r="AO87" i="1"/>
  <c r="Y86" i="2" l="1"/>
  <c r="X86" i="2" s="1"/>
  <c r="W86" i="2" s="1"/>
  <c r="C87" i="2" s="1"/>
  <c r="S87" i="8" l="1"/>
  <c r="F87" i="2"/>
  <c r="I87" i="2"/>
  <c r="AA87" i="1" s="1"/>
  <c r="S87" i="1" s="1"/>
  <c r="H88" i="1" s="1"/>
  <c r="H87" i="2"/>
  <c r="F87" i="1"/>
  <c r="O87" i="7" l="1"/>
  <c r="I87" i="11"/>
  <c r="V88" i="10"/>
  <c r="C88" i="11"/>
  <c r="AK88" i="5"/>
  <c r="BI88" i="1"/>
  <c r="AC88" i="7"/>
  <c r="AJ88" i="7" s="1"/>
  <c r="AP88" i="8"/>
  <c r="AP87" i="1"/>
  <c r="T87" i="1" s="1"/>
  <c r="I88" i="1" s="1"/>
  <c r="G87" i="2"/>
  <c r="J87" i="11"/>
  <c r="T87" i="8"/>
  <c r="W87" i="8" s="1"/>
  <c r="V87" i="8"/>
  <c r="P87" i="7" l="1"/>
  <c r="F87" i="9"/>
  <c r="BJ88" i="1"/>
  <c r="AO88" i="1"/>
  <c r="C87" i="8"/>
  <c r="Z87" i="2"/>
  <c r="Y87" i="2" l="1"/>
  <c r="X87" i="2" s="1"/>
  <c r="W87" i="2" s="1"/>
  <c r="C88" i="2" s="1"/>
  <c r="S88" i="8" l="1"/>
  <c r="F88" i="1"/>
  <c r="H88" i="2"/>
  <c r="I88" i="2"/>
  <c r="F88" i="2"/>
  <c r="AP88" i="1" l="1"/>
  <c r="T88" i="1" s="1"/>
  <c r="I89" i="1" s="1"/>
  <c r="G88" i="2"/>
  <c r="J88" i="11"/>
  <c r="I88" i="11"/>
  <c r="O88" i="7"/>
  <c r="AA88" i="1"/>
  <c r="S88" i="1" s="1"/>
  <c r="H89" i="1" s="1"/>
  <c r="V88" i="8"/>
  <c r="T88" i="8"/>
  <c r="W88" i="8" s="1"/>
  <c r="AK89" i="5" l="1"/>
  <c r="V89" i="10"/>
  <c r="C89" i="11"/>
  <c r="AP89" i="8"/>
  <c r="BI89" i="1"/>
  <c r="AC89" i="7"/>
  <c r="AJ89" i="7" s="1"/>
  <c r="F88" i="9"/>
  <c r="P88" i="7"/>
  <c r="C88" i="8"/>
  <c r="Z88" i="2"/>
  <c r="BJ89" i="1"/>
  <c r="AO89" i="1"/>
  <c r="Y88" i="2" l="1"/>
  <c r="X88" i="2" s="1"/>
  <c r="W88" i="2" s="1"/>
  <c r="C89" i="2" s="1"/>
  <c r="I89" i="2" l="1"/>
  <c r="AA89" i="1" s="1"/>
  <c r="S89" i="1" s="1"/>
  <c r="H90" i="1" s="1"/>
  <c r="S89" i="8"/>
  <c r="H89" i="2"/>
  <c r="F89" i="1"/>
  <c r="F89" i="2"/>
  <c r="AP89" i="1" l="1"/>
  <c r="T89" i="1" s="1"/>
  <c r="I90" i="1" s="1"/>
  <c r="J89" i="11"/>
  <c r="G89" i="2"/>
  <c r="T89" i="8"/>
  <c r="W89" i="8" s="1"/>
  <c r="V89" i="8"/>
  <c r="AK90" i="5"/>
  <c r="C90" i="11"/>
  <c r="BI90" i="1"/>
  <c r="V90" i="10"/>
  <c r="AP90" i="8"/>
  <c r="AC90" i="7"/>
  <c r="AJ90" i="7" s="1"/>
  <c r="I89" i="11"/>
  <c r="O89" i="7"/>
  <c r="Z89" i="2" l="1"/>
  <c r="C89" i="8"/>
  <c r="P89" i="7"/>
  <c r="F89" i="9"/>
  <c r="BJ90" i="1"/>
  <c r="AO90" i="1"/>
  <c r="Y89" i="2" l="1"/>
  <c r="X89" i="2" s="1"/>
  <c r="W89" i="2" s="1"/>
  <c r="C90" i="2" s="1"/>
  <c r="S90" i="8" l="1"/>
  <c r="I90" i="2"/>
  <c r="AA90" i="1" s="1"/>
  <c r="S90" i="1" s="1"/>
  <c r="H91" i="1" s="1"/>
  <c r="F90" i="1"/>
  <c r="H90" i="2"/>
  <c r="F90" i="2"/>
  <c r="AP90" i="1" l="1"/>
  <c r="T90" i="1" s="1"/>
  <c r="I91" i="1" s="1"/>
  <c r="J90" i="11"/>
  <c r="G90" i="2"/>
  <c r="O90" i="7"/>
  <c r="I90" i="11"/>
  <c r="AK91" i="5"/>
  <c r="V91" i="10"/>
  <c r="C91" i="11"/>
  <c r="BI91" i="1"/>
  <c r="AP91" i="8"/>
  <c r="AC91" i="7"/>
  <c r="AJ91" i="7" s="1"/>
  <c r="V90" i="8"/>
  <c r="T90" i="8"/>
  <c r="W90" i="8" s="1"/>
  <c r="Z90" i="2" l="1"/>
  <c r="C90" i="8"/>
  <c r="P90" i="7"/>
  <c r="F90" i="9"/>
  <c r="AO91" i="1"/>
  <c r="BJ91" i="1"/>
  <c r="Y90" i="2" l="1"/>
  <c r="X90" i="2" s="1"/>
  <c r="W90" i="2" s="1"/>
  <c r="C91" i="2" s="1"/>
  <c r="I91" i="2" l="1"/>
  <c r="S91" i="8"/>
  <c r="F91" i="1"/>
  <c r="H91" i="2"/>
  <c r="AA91" i="1"/>
  <c r="S91" i="1" s="1"/>
  <c r="H92" i="1" s="1"/>
  <c r="F91" i="2"/>
  <c r="J91" i="11" l="1"/>
  <c r="G91" i="2"/>
  <c r="AP91" i="1"/>
  <c r="T91" i="1" s="1"/>
  <c r="I92" i="1" s="1"/>
  <c r="V91" i="8"/>
  <c r="T91" i="8"/>
  <c r="W91" i="8" s="1"/>
  <c r="AK92" i="5"/>
  <c r="V92" i="10"/>
  <c r="BI92" i="1"/>
  <c r="C92" i="11"/>
  <c r="AP92" i="8"/>
  <c r="AC92" i="7"/>
  <c r="AJ92" i="7" s="1"/>
  <c r="I91" i="11"/>
  <c r="O91" i="7"/>
  <c r="C91" i="8" l="1"/>
  <c r="Z91" i="2"/>
  <c r="AO92" i="1"/>
  <c r="BJ92" i="1"/>
  <c r="P91" i="7"/>
  <c r="F91" i="9"/>
  <c r="Y91" i="2" l="1"/>
  <c r="X91" i="2" s="1"/>
  <c r="W91" i="2" s="1"/>
  <c r="C92" i="2" s="1"/>
  <c r="S92" i="8" l="1"/>
  <c r="F92" i="1"/>
  <c r="H92" i="2"/>
  <c r="I92" i="2"/>
  <c r="F92" i="2"/>
  <c r="AP92" i="1" l="1"/>
  <c r="T92" i="1" s="1"/>
  <c r="I93" i="1" s="1"/>
  <c r="J92" i="11"/>
  <c r="G92" i="2"/>
  <c r="I92" i="11"/>
  <c r="O92" i="7"/>
  <c r="AA92" i="1"/>
  <c r="S92" i="1" s="1"/>
  <c r="H93" i="1" s="1"/>
  <c r="V92" i="8"/>
  <c r="T92" i="8"/>
  <c r="W92" i="8" s="1"/>
  <c r="AK93" i="5" l="1"/>
  <c r="C93" i="11"/>
  <c r="AP93" i="8"/>
  <c r="AC93" i="7"/>
  <c r="AJ93" i="7" s="1"/>
  <c r="BI93" i="1"/>
  <c r="V93" i="10"/>
  <c r="C92" i="8"/>
  <c r="Z92" i="2"/>
  <c r="P92" i="7"/>
  <c r="F92" i="9"/>
  <c r="AO93" i="1"/>
  <c r="BJ93" i="1"/>
  <c r="Y92" i="2" l="1"/>
  <c r="X92" i="2" s="1"/>
  <c r="W92" i="2" s="1"/>
  <c r="C93" i="2" s="1"/>
  <c r="F93" i="2" l="1"/>
  <c r="I93" i="2"/>
  <c r="AA93" i="1" s="1"/>
  <c r="S93" i="1" s="1"/>
  <c r="H94" i="1" s="1"/>
  <c r="F93" i="1"/>
  <c r="H93" i="2"/>
  <c r="S93" i="8"/>
  <c r="T93" i="8" l="1"/>
  <c r="W93" i="8" s="1"/>
  <c r="V93" i="8"/>
  <c r="I93" i="11"/>
  <c r="O93" i="7"/>
  <c r="BI94" i="1"/>
  <c r="AK94" i="5"/>
  <c r="C94" i="11"/>
  <c r="V94" i="10"/>
  <c r="AP94" i="8"/>
  <c r="AC94" i="7"/>
  <c r="AJ94" i="7" s="1"/>
  <c r="J93" i="11"/>
  <c r="AP93" i="1"/>
  <c r="T93" i="1" s="1"/>
  <c r="I94" i="1" s="1"/>
  <c r="G93" i="2"/>
  <c r="C93" i="8" l="1"/>
  <c r="Z93" i="2"/>
  <c r="AO94" i="1"/>
  <c r="BJ94" i="1"/>
  <c r="P93" i="7"/>
  <c r="F93" i="9"/>
  <c r="Y93" i="2" l="1"/>
  <c r="X93" i="2" s="1"/>
  <c r="W93" i="2" s="1"/>
  <c r="C94" i="2" s="1"/>
  <c r="H94" i="2" l="1"/>
  <c r="F94" i="1"/>
  <c r="I94" i="2"/>
  <c r="AA94" i="1" s="1"/>
  <c r="S94" i="1" s="1"/>
  <c r="H95" i="1" s="1"/>
  <c r="S94" i="8"/>
  <c r="F94" i="2"/>
  <c r="V94" i="8" l="1"/>
  <c r="T94" i="8"/>
  <c r="W94" i="8" s="1"/>
  <c r="I94" i="11"/>
  <c r="O94" i="7"/>
  <c r="AK95" i="5"/>
  <c r="C95" i="11"/>
  <c r="AP95" i="8"/>
  <c r="BI95" i="1"/>
  <c r="V95" i="10"/>
  <c r="AC95" i="7"/>
  <c r="AJ95" i="7" s="1"/>
  <c r="J94" i="11"/>
  <c r="AP94" i="1"/>
  <c r="T94" i="1" s="1"/>
  <c r="I95" i="1" s="1"/>
  <c r="G94" i="2"/>
  <c r="BJ95" i="1" l="1"/>
  <c r="AO95" i="1"/>
  <c r="P94" i="7"/>
  <c r="F94" i="9"/>
  <c r="Z94" i="2"/>
  <c r="C94" i="8"/>
  <c r="Y94" i="2" l="1"/>
  <c r="X94" i="2" s="1"/>
  <c r="W94" i="2" s="1"/>
  <c r="C95" i="2" s="1"/>
  <c r="H95" i="2" l="1"/>
  <c r="F95" i="1"/>
  <c r="F95" i="2"/>
  <c r="S95" i="8"/>
  <c r="I95" i="2"/>
  <c r="V95" i="8" l="1"/>
  <c r="T95" i="8"/>
  <c r="W95" i="8" s="1"/>
  <c r="O95" i="7"/>
  <c r="I95" i="11"/>
  <c r="AA95" i="1"/>
  <c r="S95" i="1" s="1"/>
  <c r="H96" i="1" s="1"/>
  <c r="AP95" i="1"/>
  <c r="T95" i="1" s="1"/>
  <c r="I96" i="1" s="1"/>
  <c r="G95" i="2"/>
  <c r="J95" i="11"/>
  <c r="P95" i="7" l="1"/>
  <c r="F95" i="9"/>
  <c r="C95" i="8"/>
  <c r="Z95" i="2"/>
  <c r="BJ96" i="1"/>
  <c r="AO96" i="1"/>
  <c r="AK96" i="5"/>
  <c r="C96" i="11"/>
  <c r="BI96" i="1"/>
  <c r="AP96" i="8"/>
  <c r="V96" i="10"/>
  <c r="AC96" i="7"/>
  <c r="AJ96" i="7" s="1"/>
  <c r="Y95" i="2" l="1"/>
  <c r="X95" i="2" s="1"/>
  <c r="W95" i="2" s="1"/>
  <c r="C96" i="2" s="1"/>
  <c r="F96" i="1" l="1"/>
  <c r="H96" i="2"/>
  <c r="S96" i="8"/>
  <c r="F96" i="2"/>
  <c r="I96" i="2"/>
  <c r="V96" i="8" l="1"/>
  <c r="T96" i="8"/>
  <c r="W96" i="8" s="1"/>
  <c r="I96" i="11"/>
  <c r="O96" i="7"/>
  <c r="AP96" i="1"/>
  <c r="T96" i="1" s="1"/>
  <c r="I97" i="1" s="1"/>
  <c r="J96" i="11"/>
  <c r="G96" i="2"/>
  <c r="AA96" i="1"/>
  <c r="S96" i="1" s="1"/>
  <c r="H97" i="1" s="1"/>
  <c r="Z96" i="2" l="1"/>
  <c r="C96" i="8"/>
  <c r="P96" i="7"/>
  <c r="F96" i="9"/>
  <c r="AK97" i="5"/>
  <c r="BI97" i="1"/>
  <c r="V97" i="10"/>
  <c r="AP97" i="8"/>
  <c r="C97" i="11"/>
  <c r="AC97" i="7"/>
  <c r="AJ97" i="7" s="1"/>
  <c r="BJ97" i="1"/>
  <c r="AO97" i="1"/>
  <c r="Y96" i="2" l="1"/>
  <c r="X96" i="2" s="1"/>
  <c r="W96" i="2" s="1"/>
  <c r="C97" i="2" s="1"/>
  <c r="H97" i="2" l="1"/>
  <c r="F97" i="1"/>
  <c r="S97" i="8"/>
  <c r="I97" i="2"/>
  <c r="AA97" i="1" s="1"/>
  <c r="S97" i="1" s="1"/>
  <c r="H98" i="1" s="1"/>
  <c r="F97" i="2"/>
  <c r="AK98" i="5" l="1"/>
  <c r="AP98" i="8"/>
  <c r="V98" i="10"/>
  <c r="AC98" i="7"/>
  <c r="AJ98" i="7" s="1"/>
  <c r="C98" i="11"/>
  <c r="BI98" i="1"/>
  <c r="AP97" i="1"/>
  <c r="T97" i="1" s="1"/>
  <c r="I98" i="1" s="1"/>
  <c r="J97" i="11"/>
  <c r="G97" i="2"/>
  <c r="O97" i="7"/>
  <c r="I97" i="11"/>
  <c r="T97" i="8"/>
  <c r="W97" i="8" s="1"/>
  <c r="V97" i="8"/>
  <c r="AO98" i="1" l="1"/>
  <c r="BJ98" i="1"/>
  <c r="Z97" i="2"/>
  <c r="C97" i="8"/>
  <c r="P97" i="7"/>
  <c r="F97" i="9"/>
  <c r="Y97" i="2" l="1"/>
  <c r="X97" i="2" s="1"/>
  <c r="W97" i="2" s="1"/>
  <c r="C98" i="2" s="1"/>
  <c r="F98" i="2" l="1"/>
  <c r="H98" i="2"/>
  <c r="F98" i="1"/>
  <c r="S98" i="8"/>
  <c r="I98" i="2"/>
  <c r="I98" i="11" l="1"/>
  <c r="O98" i="7"/>
  <c r="T98" i="8"/>
  <c r="W98" i="8" s="1"/>
  <c r="V98" i="8"/>
  <c r="AA98" i="1"/>
  <c r="S98" i="1" s="1"/>
  <c r="H99" i="1" s="1"/>
  <c r="J98" i="11"/>
  <c r="G98" i="2"/>
  <c r="AP98" i="1"/>
  <c r="T98" i="1" s="1"/>
  <c r="I99" i="1" s="1"/>
  <c r="V99" i="10" l="1"/>
  <c r="AK99" i="5"/>
  <c r="C99" i="11"/>
  <c r="BI99" i="1"/>
  <c r="AP99" i="8"/>
  <c r="AC99" i="7"/>
  <c r="AJ99" i="7" s="1"/>
  <c r="AO99" i="1"/>
  <c r="BJ99" i="1"/>
  <c r="Z98" i="2"/>
  <c r="C98" i="8"/>
  <c r="P98" i="7"/>
  <c r="F98" i="9"/>
  <c r="Y98" i="2" l="1"/>
  <c r="X98" i="2" s="1"/>
  <c r="W98" i="2" s="1"/>
  <c r="C99" i="2" s="1"/>
  <c r="H99" i="2" l="1"/>
  <c r="S99" i="8"/>
  <c r="I99" i="2"/>
  <c r="AA99" i="1" s="1"/>
  <c r="S99" i="1" s="1"/>
  <c r="H100" i="1" s="1"/>
  <c r="F99" i="1"/>
  <c r="F99" i="2"/>
  <c r="AP99" i="1" l="1"/>
  <c r="T99" i="1" s="1"/>
  <c r="I100" i="1" s="1"/>
  <c r="J99" i="11"/>
  <c r="G99" i="2"/>
  <c r="V99" i="8"/>
  <c r="T99" i="8"/>
  <c r="W99" i="8" s="1"/>
  <c r="BI100" i="1"/>
  <c r="AP100" i="8"/>
  <c r="AC100" i="7"/>
  <c r="AJ100" i="7" s="1"/>
  <c r="AK100" i="5"/>
  <c r="C100" i="11"/>
  <c r="V100" i="10"/>
  <c r="I99" i="11"/>
  <c r="O99" i="7"/>
  <c r="C99" i="8" l="1"/>
  <c r="Z99" i="2"/>
  <c r="P99" i="7"/>
  <c r="F99" i="9"/>
  <c r="AO100" i="1"/>
  <c r="BJ100" i="1"/>
  <c r="Y99" i="2" l="1"/>
  <c r="X99" i="2" s="1"/>
  <c r="W99" i="2" s="1"/>
  <c r="C100" i="2" s="1"/>
  <c r="H100" i="2" l="1"/>
  <c r="F100" i="2"/>
  <c r="F100" i="1"/>
  <c r="I100" i="2"/>
  <c r="AA100" i="1" s="1"/>
  <c r="S100" i="1" s="1"/>
  <c r="H101" i="1" s="1"/>
  <c r="S100" i="8"/>
  <c r="AK101" i="5" l="1"/>
  <c r="BI101" i="1"/>
  <c r="V101" i="10"/>
  <c r="C101" i="11"/>
  <c r="AP101" i="8"/>
  <c r="AC101" i="7"/>
  <c r="AJ101" i="7" s="1"/>
  <c r="T100" i="8"/>
  <c r="W100" i="8" s="1"/>
  <c r="V100" i="8"/>
  <c r="J100" i="11"/>
  <c r="G100" i="2"/>
  <c r="AP100" i="1"/>
  <c r="T100" i="1" s="1"/>
  <c r="I101" i="1" s="1"/>
  <c r="I100" i="11"/>
  <c r="O100" i="7"/>
  <c r="Z100" i="2" l="1"/>
  <c r="C100" i="8"/>
  <c r="BJ101" i="1"/>
  <c r="AO101" i="1"/>
  <c r="P100" i="7"/>
  <c r="F100" i="9"/>
  <c r="Y100" i="2" l="1"/>
  <c r="X100" i="2" s="1"/>
  <c r="W100" i="2" s="1"/>
  <c r="C101" i="2" s="1"/>
  <c r="F101" i="1" l="1"/>
  <c r="I101" i="2"/>
  <c r="AA101" i="1" s="1"/>
  <c r="S101" i="1" s="1"/>
  <c r="H102" i="1" s="1"/>
  <c r="S101" i="8"/>
  <c r="H101" i="2"/>
  <c r="F101" i="2"/>
  <c r="AP101" i="1" l="1"/>
  <c r="T101" i="1" s="1"/>
  <c r="I102" i="1" s="1"/>
  <c r="J101" i="11"/>
  <c r="G101" i="2"/>
  <c r="AP102" i="8"/>
  <c r="BI102" i="1"/>
  <c r="AC102" i="7"/>
  <c r="AJ102" i="7" s="1"/>
  <c r="AK102" i="5"/>
  <c r="C102" i="11"/>
  <c r="V102" i="10"/>
  <c r="I101" i="11"/>
  <c r="O101" i="7"/>
  <c r="T101" i="8"/>
  <c r="W101" i="8" s="1"/>
  <c r="V101" i="8"/>
  <c r="C101" i="8" l="1"/>
  <c r="Z101" i="2"/>
  <c r="P101" i="7"/>
  <c r="F101" i="9"/>
  <c r="AO102" i="1"/>
  <c r="BJ102" i="1"/>
  <c r="Y101" i="2" l="1"/>
  <c r="X101" i="2" s="1"/>
  <c r="W101" i="2" s="1"/>
  <c r="C102" i="2" s="1"/>
  <c r="H102" i="2" l="1"/>
  <c r="F102" i="1"/>
  <c r="F102" i="2"/>
  <c r="S102" i="8"/>
  <c r="I102" i="2"/>
  <c r="I102" i="11" l="1"/>
  <c r="O102" i="7"/>
  <c r="AA102" i="1"/>
  <c r="S102" i="1" s="1"/>
  <c r="H103" i="1" s="1"/>
  <c r="T102" i="8"/>
  <c r="W102" i="8" s="1"/>
  <c r="V102" i="8"/>
  <c r="J102" i="11"/>
  <c r="G102" i="2"/>
  <c r="AP102" i="1"/>
  <c r="T102" i="1" s="1"/>
  <c r="I103" i="1" s="1"/>
  <c r="Z102" i="2" l="1"/>
  <c r="C102" i="8"/>
  <c r="P102" i="7"/>
  <c r="F102" i="9"/>
  <c r="BJ103" i="1"/>
  <c r="AO103" i="1"/>
  <c r="AK103" i="5"/>
  <c r="BI103" i="1"/>
  <c r="V103" i="10"/>
  <c r="AP103" i="8"/>
  <c r="C103" i="11"/>
  <c r="AC103" i="7"/>
  <c r="AJ103" i="7" s="1"/>
  <c r="Y102" i="2" l="1"/>
  <c r="X102" i="2" s="1"/>
  <c r="W102" i="2" s="1"/>
  <c r="C103" i="2" s="1"/>
  <c r="I103" i="2" l="1"/>
  <c r="S103" i="8"/>
  <c r="H103" i="2"/>
  <c r="F103" i="1"/>
  <c r="F103" i="2"/>
  <c r="AA103" i="1"/>
  <c r="S103" i="1" s="1"/>
  <c r="H104" i="1" s="1"/>
  <c r="AP103" i="1" l="1"/>
  <c r="T103" i="1" s="1"/>
  <c r="I104" i="1" s="1"/>
  <c r="J103" i="11"/>
  <c r="G103" i="2"/>
  <c r="AK104" i="5"/>
  <c r="C104" i="11"/>
  <c r="BI104" i="1"/>
  <c r="V104" i="10"/>
  <c r="AP104" i="8"/>
  <c r="AC104" i="7"/>
  <c r="AJ104" i="7" s="1"/>
  <c r="I103" i="11"/>
  <c r="O103" i="7"/>
  <c r="T103" i="8"/>
  <c r="W103" i="8" s="1"/>
  <c r="V103" i="8"/>
  <c r="Z103" i="2" l="1"/>
  <c r="C103" i="8"/>
  <c r="P103" i="7"/>
  <c r="F103" i="9"/>
  <c r="BJ104" i="1"/>
  <c r="AO104" i="1"/>
  <c r="Y103" i="2" l="1"/>
  <c r="X103" i="2" s="1"/>
  <c r="W103" i="2" s="1"/>
  <c r="C104" i="2" s="1"/>
  <c r="S104" i="8" l="1"/>
  <c r="I104" i="2"/>
  <c r="AA104" i="1" s="1"/>
  <c r="S104" i="1" s="1"/>
  <c r="H105" i="1" s="1"/>
  <c r="F104" i="1"/>
  <c r="H104" i="2"/>
  <c r="F104" i="2"/>
  <c r="AK105" i="5" l="1"/>
  <c r="V105" i="10"/>
  <c r="C105" i="11"/>
  <c r="AP105" i="8"/>
  <c r="BI105" i="1"/>
  <c r="AC105" i="7"/>
  <c r="AJ105" i="7" s="1"/>
  <c r="I104" i="11"/>
  <c r="O104" i="7"/>
  <c r="AP104" i="1"/>
  <c r="T104" i="1" s="1"/>
  <c r="I105" i="1" s="1"/>
  <c r="J104" i="11"/>
  <c r="G104" i="2"/>
  <c r="V104" i="8"/>
  <c r="T104" i="8"/>
  <c r="W104" i="8" s="1"/>
  <c r="BJ105" i="1" l="1"/>
  <c r="AO105" i="1"/>
  <c r="C104" i="8"/>
  <c r="Z104" i="2"/>
  <c r="P104" i="7"/>
  <c r="F104" i="9"/>
  <c r="Y104" i="2" l="1"/>
  <c r="X104" i="2" s="1"/>
  <c r="W104" i="2" s="1"/>
  <c r="C105" i="2" s="1"/>
  <c r="F105" i="1" l="1"/>
  <c r="H105" i="2"/>
  <c r="F105" i="2"/>
  <c r="I105" i="2"/>
  <c r="S105" i="8"/>
  <c r="V105" i="8" l="1"/>
  <c r="T105" i="8"/>
  <c r="W105" i="8" s="1"/>
  <c r="AP105" i="1"/>
  <c r="T105" i="1" s="1"/>
  <c r="I106" i="1" s="1"/>
  <c r="J105" i="11"/>
  <c r="G105" i="2"/>
  <c r="I105" i="11"/>
  <c r="O105" i="7"/>
  <c r="AA105" i="1"/>
  <c r="S105" i="1" s="1"/>
  <c r="H106" i="1" s="1"/>
  <c r="Z105" i="2" l="1"/>
  <c r="C105" i="8"/>
  <c r="AP106" i="8"/>
  <c r="V106" i="10"/>
  <c r="AK106" i="5"/>
  <c r="BI106" i="1"/>
  <c r="C106" i="11"/>
  <c r="AC106" i="7"/>
  <c r="AJ106" i="7" s="1"/>
  <c r="P105" i="7"/>
  <c r="F105" i="9"/>
  <c r="AO106" i="1"/>
  <c r="BJ106" i="1"/>
  <c r="Y105" i="2" l="1"/>
  <c r="X105" i="2" s="1"/>
  <c r="W105" i="2" s="1"/>
  <c r="C106" i="2" s="1"/>
  <c r="F106" i="2" l="1"/>
  <c r="I106" i="2"/>
  <c r="AA106" i="1" s="1"/>
  <c r="S106" i="1" s="1"/>
  <c r="H107" i="1" s="1"/>
  <c r="S106" i="8"/>
  <c r="H106" i="2"/>
  <c r="F106" i="1"/>
  <c r="T106" i="8" l="1"/>
  <c r="W106" i="8" s="1"/>
  <c r="V106" i="8"/>
  <c r="AP106" i="1"/>
  <c r="T106" i="1" s="1"/>
  <c r="I107" i="1" s="1"/>
  <c r="G106" i="2"/>
  <c r="J106" i="11"/>
  <c r="AK107" i="5"/>
  <c r="C107" i="11"/>
  <c r="V107" i="10"/>
  <c r="AP107" i="8"/>
  <c r="BI107" i="1"/>
  <c r="AC107" i="7"/>
  <c r="AJ107" i="7" s="1"/>
  <c r="I106" i="11"/>
  <c r="O106" i="7"/>
  <c r="AO107" i="1" l="1"/>
  <c r="BJ107" i="1"/>
  <c r="P106" i="7"/>
  <c r="F106" i="9"/>
  <c r="Z106" i="2"/>
  <c r="C106" i="8"/>
  <c r="Y106" i="2" l="1"/>
  <c r="X106" i="2" s="1"/>
  <c r="W106" i="2" s="1"/>
  <c r="C107" i="2" s="1"/>
  <c r="F107" i="2" l="1"/>
  <c r="I107" i="2"/>
  <c r="AA107" i="1" s="1"/>
  <c r="S107" i="1" s="1"/>
  <c r="H108" i="1" s="1"/>
  <c r="S107" i="8"/>
  <c r="H107" i="2"/>
  <c r="F107" i="1"/>
  <c r="BI108" i="1" l="1"/>
  <c r="AC108" i="7"/>
  <c r="AJ108" i="7" s="1"/>
  <c r="AK108" i="5"/>
  <c r="V108" i="10"/>
  <c r="C108" i="11"/>
  <c r="AP108" i="8"/>
  <c r="O107" i="7"/>
  <c r="I107" i="11"/>
  <c r="V107" i="8"/>
  <c r="T107" i="8"/>
  <c r="W107" i="8" s="1"/>
  <c r="AP107" i="1"/>
  <c r="T107" i="1" s="1"/>
  <c r="I108" i="1" s="1"/>
  <c r="G107" i="2"/>
  <c r="J107" i="11"/>
  <c r="C107" i="8" l="1"/>
  <c r="Z107" i="2"/>
  <c r="BJ108" i="1"/>
  <c r="AO108" i="1"/>
  <c r="P107" i="7"/>
  <c r="F107" i="9"/>
  <c r="Y107" i="2" l="1"/>
  <c r="X107" i="2" s="1"/>
  <c r="W107" i="2" s="1"/>
  <c r="C108" i="2" s="1"/>
  <c r="S108" i="8" l="1"/>
  <c r="I108" i="2"/>
  <c r="AA108" i="1" s="1"/>
  <c r="S108" i="1" s="1"/>
  <c r="H109" i="1" s="1"/>
  <c r="H108" i="2"/>
  <c r="F108" i="1"/>
  <c r="F108" i="2"/>
  <c r="BI109" i="1" l="1"/>
  <c r="AP109" i="8"/>
  <c r="C109" i="11"/>
  <c r="AC109" i="7"/>
  <c r="AJ109" i="7" s="1"/>
  <c r="AK109" i="5"/>
  <c r="V109" i="10"/>
  <c r="J108" i="11"/>
  <c r="G108" i="2"/>
  <c r="AP108" i="1"/>
  <c r="T108" i="1" s="1"/>
  <c r="I109" i="1" s="1"/>
  <c r="I108" i="11"/>
  <c r="O108" i="7"/>
  <c r="T108" i="8"/>
  <c r="W108" i="8" s="1"/>
  <c r="V108" i="8"/>
  <c r="BJ109" i="1" l="1"/>
  <c r="AO109" i="1"/>
  <c r="P108" i="7"/>
  <c r="F108" i="9"/>
  <c r="C108" i="8"/>
  <c r="Z108" i="2"/>
  <c r="Y108" i="2" l="1"/>
  <c r="X108" i="2" s="1"/>
  <c r="W108" i="2" s="1"/>
  <c r="C109" i="2" s="1"/>
  <c r="S109" i="8" l="1"/>
  <c r="I109" i="2"/>
  <c r="AA109" i="1" s="1"/>
  <c r="S109" i="1" s="1"/>
  <c r="H110" i="1" s="1"/>
  <c r="H109" i="2"/>
  <c r="F109" i="1"/>
  <c r="F109" i="2"/>
  <c r="J109" i="11" l="1"/>
  <c r="AP109" i="1"/>
  <c r="T109" i="1" s="1"/>
  <c r="I110" i="1" s="1"/>
  <c r="G109" i="2"/>
  <c r="BI110" i="1"/>
  <c r="C110" i="11"/>
  <c r="V110" i="10"/>
  <c r="AP110" i="8"/>
  <c r="AC110" i="7"/>
  <c r="AJ110" i="7" s="1"/>
  <c r="AK110" i="5"/>
  <c r="I109" i="11"/>
  <c r="O109" i="7"/>
  <c r="V109" i="8"/>
  <c r="T109" i="8"/>
  <c r="W109" i="8" s="1"/>
  <c r="BJ110" i="1" l="1"/>
  <c r="AO110" i="1"/>
  <c r="Z109" i="2"/>
  <c r="C109" i="8"/>
  <c r="P109" i="7"/>
  <c r="F109" i="9"/>
  <c r="Y109" i="2" l="1"/>
  <c r="X109" i="2" s="1"/>
  <c r="W109" i="2" s="1"/>
  <c r="C110" i="2" s="1"/>
  <c r="I110" i="2" l="1"/>
  <c r="AA110" i="1" s="1"/>
  <c r="S110" i="1" s="1"/>
  <c r="H111" i="1" s="1"/>
  <c r="S110" i="8"/>
  <c r="F110" i="1"/>
  <c r="H110" i="2"/>
  <c r="F110" i="2"/>
  <c r="J110" i="11" l="1"/>
  <c r="G110" i="2"/>
  <c r="AP110" i="1"/>
  <c r="T110" i="1" s="1"/>
  <c r="I111" i="1" s="1"/>
  <c r="T110" i="8"/>
  <c r="W110" i="8" s="1"/>
  <c r="V110" i="8"/>
  <c r="C111" i="11"/>
  <c r="BI111" i="1"/>
  <c r="AP111" i="8"/>
  <c r="AC111" i="7"/>
  <c r="AJ111" i="7" s="1"/>
  <c r="AK111" i="5"/>
  <c r="V111" i="10"/>
  <c r="O110" i="7"/>
  <c r="I110" i="11"/>
  <c r="C110" i="8" l="1"/>
  <c r="Z110" i="2"/>
  <c r="BJ111" i="1"/>
  <c r="AO111" i="1"/>
  <c r="P110" i="7"/>
  <c r="F110" i="9"/>
  <c r="Y110" i="2" l="1"/>
  <c r="X110" i="2" s="1"/>
  <c r="W110" i="2" s="1"/>
  <c r="C111" i="2" s="1"/>
  <c r="S111" i="8" l="1"/>
  <c r="I111" i="2"/>
  <c r="AA111" i="1" s="1"/>
  <c r="S111" i="1" s="1"/>
  <c r="H112" i="1" s="1"/>
  <c r="H111" i="2"/>
  <c r="F111" i="1"/>
  <c r="F111" i="2"/>
  <c r="V112" i="10" l="1"/>
  <c r="BI112" i="1"/>
  <c r="AP112" i="8"/>
  <c r="C112" i="11"/>
  <c r="AC112" i="7"/>
  <c r="AJ112" i="7" s="1"/>
  <c r="AK112" i="5"/>
  <c r="J111" i="11"/>
  <c r="G111" i="2"/>
  <c r="AP111" i="1"/>
  <c r="T111" i="1" s="1"/>
  <c r="I112" i="1" s="1"/>
  <c r="I111" i="11"/>
  <c r="O111" i="7"/>
  <c r="V111" i="8"/>
  <c r="T111" i="8"/>
  <c r="W111" i="8" s="1"/>
  <c r="AO112" i="1" l="1"/>
  <c r="BJ112" i="1"/>
  <c r="Z111" i="2"/>
  <c r="C111" i="8"/>
  <c r="P111" i="7"/>
  <c r="F111" i="9"/>
  <c r="Y111" i="2" l="1"/>
  <c r="X111" i="2" s="1"/>
  <c r="W111" i="2" s="1"/>
  <c r="C112" i="2" s="1"/>
  <c r="I112" i="2" l="1"/>
  <c r="AA112" i="1" s="1"/>
  <c r="S112" i="1" s="1"/>
  <c r="H113" i="1" s="1"/>
  <c r="S112" i="8"/>
  <c r="F112" i="1"/>
  <c r="H112" i="2"/>
  <c r="F112" i="2"/>
  <c r="C113" i="11" l="1"/>
  <c r="AP113" i="8"/>
  <c r="V113" i="10"/>
  <c r="AC113" i="7"/>
  <c r="AJ113" i="7" s="1"/>
  <c r="AK113" i="5"/>
  <c r="BI113" i="1"/>
  <c r="V112" i="8"/>
  <c r="T112" i="8"/>
  <c r="W112" i="8" s="1"/>
  <c r="J112" i="11"/>
  <c r="G112" i="2"/>
  <c r="AP112" i="1"/>
  <c r="T112" i="1" s="1"/>
  <c r="I113" i="1" s="1"/>
  <c r="O112" i="7"/>
  <c r="I112" i="11"/>
  <c r="BJ113" i="1" l="1"/>
  <c r="AO113" i="1"/>
  <c r="P112" i="7"/>
  <c r="F112" i="9"/>
  <c r="C112" i="8"/>
  <c r="Z112" i="2"/>
  <c r="Y112" i="2" l="1"/>
  <c r="X112" i="2" s="1"/>
  <c r="W112" i="2" s="1"/>
  <c r="C113" i="2" s="1"/>
  <c r="S113" i="8" l="1"/>
  <c r="I113" i="2"/>
  <c r="AA113" i="1" s="1"/>
  <c r="S113" i="1" s="1"/>
  <c r="H114" i="1" s="1"/>
  <c r="F113" i="1"/>
  <c r="H113" i="2"/>
  <c r="F113" i="2"/>
  <c r="J113" i="11" l="1"/>
  <c r="G113" i="2"/>
  <c r="AP113" i="1"/>
  <c r="T113" i="1" s="1"/>
  <c r="I114" i="1" s="1"/>
  <c r="V114" i="10"/>
  <c r="C114" i="11"/>
  <c r="BI114" i="1"/>
  <c r="AP114" i="8"/>
  <c r="AC114" i="7"/>
  <c r="AJ114" i="7" s="1"/>
  <c r="AK114" i="5"/>
  <c r="I113" i="11"/>
  <c r="O113" i="7"/>
  <c r="V113" i="8"/>
  <c r="T113" i="8"/>
  <c r="W113" i="8" s="1"/>
  <c r="Z113" i="2" l="1"/>
  <c r="C113" i="8"/>
  <c r="BJ114" i="1"/>
  <c r="AO114" i="1"/>
  <c r="P113" i="7"/>
  <c r="F113" i="9"/>
  <c r="Y113" i="2" l="1"/>
  <c r="X113" i="2" s="1"/>
  <c r="W113" i="2" s="1"/>
  <c r="C114" i="2" s="1"/>
  <c r="I114" i="2" l="1"/>
  <c r="AA114" i="1" s="1"/>
  <c r="S114" i="1" s="1"/>
  <c r="H115" i="1" s="1"/>
  <c r="S114" i="8"/>
  <c r="H114" i="2"/>
  <c r="F114" i="1"/>
  <c r="F114" i="2"/>
  <c r="J114" i="11" l="1"/>
  <c r="G114" i="2"/>
  <c r="AP114" i="1"/>
  <c r="T114" i="1" s="1"/>
  <c r="I115" i="1" s="1"/>
  <c r="T114" i="8"/>
  <c r="W114" i="8" s="1"/>
  <c r="V114" i="8"/>
  <c r="BI115" i="1"/>
  <c r="V115" i="10"/>
  <c r="AP115" i="8"/>
  <c r="C115" i="11"/>
  <c r="AC115" i="7"/>
  <c r="AJ115" i="7" s="1"/>
  <c r="AK115" i="5"/>
  <c r="I114" i="11"/>
  <c r="O114" i="7"/>
  <c r="BJ115" i="1" l="1"/>
  <c r="AO115" i="1"/>
  <c r="Z114" i="2"/>
  <c r="C114" i="8"/>
  <c r="P114" i="7"/>
  <c r="F114" i="9"/>
  <c r="Y114" i="2" l="1"/>
  <c r="X114" i="2" s="1"/>
  <c r="W114" i="2" s="1"/>
  <c r="C115" i="2" s="1"/>
  <c r="I115" i="2" l="1"/>
  <c r="AA115" i="1" s="1"/>
  <c r="S115" i="1" s="1"/>
  <c r="H116" i="1" s="1"/>
  <c r="S115" i="8"/>
  <c r="H115" i="2"/>
  <c r="F115" i="1"/>
  <c r="F115" i="2"/>
  <c r="C116" i="11" l="1"/>
  <c r="V116" i="10"/>
  <c r="AP116" i="8"/>
  <c r="BI116" i="1"/>
  <c r="AC116" i="7"/>
  <c r="AJ116" i="7" s="1"/>
  <c r="AK116" i="5"/>
  <c r="V115" i="8"/>
  <c r="T115" i="8"/>
  <c r="W115" i="8" s="1"/>
  <c r="J115" i="11"/>
  <c r="AP115" i="1"/>
  <c r="T115" i="1" s="1"/>
  <c r="I116" i="1" s="1"/>
  <c r="G115" i="2"/>
  <c r="I115" i="11"/>
  <c r="O115" i="7"/>
  <c r="C115" i="8" l="1"/>
  <c r="Z115" i="2"/>
  <c r="P115" i="7"/>
  <c r="F115" i="9"/>
  <c r="BJ116" i="1"/>
  <c r="AO116" i="1"/>
  <c r="Y115" i="2" l="1"/>
  <c r="X115" i="2" s="1"/>
  <c r="W115" i="2" s="1"/>
  <c r="C116" i="2" s="1"/>
  <c r="S116" i="8" l="1"/>
  <c r="I116" i="2"/>
  <c r="AA116" i="1" s="1"/>
  <c r="S116" i="1" s="1"/>
  <c r="H117" i="1" s="1"/>
  <c r="H116" i="2"/>
  <c r="F116" i="1"/>
  <c r="F116" i="2"/>
  <c r="J116" i="11" l="1"/>
  <c r="G116" i="2"/>
  <c r="AP116" i="1"/>
  <c r="T116" i="1" s="1"/>
  <c r="I117" i="1" s="1"/>
  <c r="BI117" i="1"/>
  <c r="C117" i="11"/>
  <c r="AP117" i="8"/>
  <c r="AC117" i="7"/>
  <c r="AJ117" i="7" s="1"/>
  <c r="AK117" i="5"/>
  <c r="V117" i="10"/>
  <c r="I116" i="11"/>
  <c r="O116" i="7"/>
  <c r="V116" i="8"/>
  <c r="T116" i="8"/>
  <c r="W116" i="8" s="1"/>
  <c r="BJ117" i="1" l="1"/>
  <c r="AO117" i="1"/>
  <c r="C116" i="8"/>
  <c r="Z116" i="2"/>
  <c r="P116" i="7"/>
  <c r="F116" i="9"/>
  <c r="Y116" i="2" l="1"/>
  <c r="X116" i="2" s="1"/>
  <c r="W116" i="2" s="1"/>
  <c r="C117" i="2" s="1"/>
  <c r="I117" i="2" l="1"/>
  <c r="AA117" i="1" s="1"/>
  <c r="S117" i="1" s="1"/>
  <c r="H118" i="1" s="1"/>
  <c r="S117" i="8"/>
  <c r="F117" i="1"/>
  <c r="H117" i="2"/>
  <c r="F117" i="2"/>
  <c r="BI118" i="1" l="1"/>
  <c r="V118" i="10"/>
  <c r="AP118" i="8"/>
  <c r="AC118" i="7"/>
  <c r="AJ118" i="7" s="1"/>
  <c r="AK118" i="5"/>
  <c r="C118" i="11"/>
  <c r="T117" i="8"/>
  <c r="W117" i="8" s="1"/>
  <c r="V117" i="8"/>
  <c r="J117" i="11"/>
  <c r="G117" i="2"/>
  <c r="AP117" i="1"/>
  <c r="T117" i="1" s="1"/>
  <c r="I118" i="1" s="1"/>
  <c r="O117" i="7"/>
  <c r="I117" i="11"/>
  <c r="BJ118" i="1" l="1"/>
  <c r="AO118" i="1"/>
  <c r="P117" i="7"/>
  <c r="F117" i="9"/>
  <c r="Z117" i="2"/>
  <c r="C117" i="8"/>
  <c r="Y117" i="2" l="1"/>
  <c r="X117" i="2" s="1"/>
  <c r="W117" i="2" s="1"/>
  <c r="C118" i="2" s="1"/>
  <c r="S118" i="8" l="1"/>
  <c r="I118" i="2"/>
  <c r="AA118" i="1" s="1"/>
  <c r="S118" i="1" s="1"/>
  <c r="H119" i="1" s="1"/>
  <c r="F118" i="1"/>
  <c r="H118" i="2"/>
  <c r="F118" i="2"/>
  <c r="C119" i="11" l="1"/>
  <c r="BI119" i="1"/>
  <c r="AP119" i="8"/>
  <c r="AC119" i="7"/>
  <c r="AJ119" i="7" s="1"/>
  <c r="AK119" i="5"/>
  <c r="V119" i="10"/>
  <c r="J118" i="11"/>
  <c r="AP118" i="1"/>
  <c r="T118" i="1" s="1"/>
  <c r="I119" i="1" s="1"/>
  <c r="G118" i="2"/>
  <c r="I118" i="11"/>
  <c r="O118" i="7"/>
  <c r="T118" i="8"/>
  <c r="W118" i="8" s="1"/>
  <c r="V118" i="8"/>
  <c r="Z118" i="2" l="1"/>
  <c r="C118" i="8"/>
  <c r="P118" i="7"/>
  <c r="F118" i="9"/>
  <c r="BJ119" i="1"/>
  <c r="AO119" i="1"/>
  <c r="Y118" i="2" l="1"/>
  <c r="X118" i="2" s="1"/>
  <c r="W118" i="2" s="1"/>
  <c r="C119" i="2" s="1"/>
  <c r="I119" i="2" l="1"/>
  <c r="AA119" i="1" s="1"/>
  <c r="S119" i="1" s="1"/>
  <c r="H120" i="1" s="1"/>
  <c r="S119" i="8"/>
  <c r="H119" i="2"/>
  <c r="F119" i="1"/>
  <c r="F119" i="2"/>
  <c r="BI120" i="1" l="1"/>
  <c r="V120" i="10"/>
  <c r="AP120" i="8"/>
  <c r="AC120" i="7"/>
  <c r="AJ120" i="7" s="1"/>
  <c r="AK120" i="5"/>
  <c r="C120" i="11"/>
  <c r="V119" i="8"/>
  <c r="T119" i="8"/>
  <c r="W119" i="8" s="1"/>
  <c r="J119" i="11"/>
  <c r="AP119" i="1"/>
  <c r="T119" i="1" s="1"/>
  <c r="I120" i="1" s="1"/>
  <c r="G119" i="2"/>
  <c r="O119" i="7"/>
  <c r="I119" i="11"/>
  <c r="AO120" i="1" l="1"/>
  <c r="BJ120" i="1"/>
  <c r="Z119" i="2"/>
  <c r="C119" i="8"/>
  <c r="P119" i="7"/>
  <c r="F119" i="9"/>
  <c r="Y119" i="2" l="1"/>
  <c r="X119" i="2" s="1"/>
  <c r="W119" i="2" s="1"/>
  <c r="C120" i="2" s="1"/>
  <c r="I120" i="2" l="1"/>
  <c r="AA120" i="1" s="1"/>
  <c r="S120" i="1" s="1"/>
  <c r="H121" i="1" s="1"/>
  <c r="H120" i="2"/>
  <c r="F120" i="1"/>
  <c r="F120" i="2"/>
  <c r="S120" i="8"/>
  <c r="BI121" i="1" l="1"/>
  <c r="AP121" i="8"/>
  <c r="C121" i="11"/>
  <c r="AC121" i="7"/>
  <c r="AJ121" i="7" s="1"/>
  <c r="AK121" i="5"/>
  <c r="V121" i="10"/>
  <c r="V120" i="8"/>
  <c r="T120" i="8"/>
  <c r="W120" i="8" s="1"/>
  <c r="AP120" i="1"/>
  <c r="T120" i="1" s="1"/>
  <c r="I121" i="1" s="1"/>
  <c r="G120" i="2"/>
  <c r="J120" i="11"/>
  <c r="I120" i="11"/>
  <c r="O120" i="7"/>
  <c r="Z120" i="2" l="1"/>
  <c r="C120" i="8"/>
  <c r="P120" i="7"/>
  <c r="F120" i="9"/>
  <c r="BJ121" i="1"/>
  <c r="AO121" i="1"/>
  <c r="Y120" i="2" l="1"/>
  <c r="X120" i="2" s="1"/>
  <c r="W120" i="2" s="1"/>
  <c r="C121" i="2" s="1"/>
  <c r="S121" i="8" l="1"/>
  <c r="I121" i="2"/>
  <c r="AA121" i="1" s="1"/>
  <c r="S121" i="1" s="1"/>
  <c r="H122" i="1" s="1"/>
  <c r="H121" i="2"/>
  <c r="F121" i="1"/>
  <c r="F121" i="2"/>
  <c r="G121" i="2" l="1"/>
  <c r="AP121" i="1"/>
  <c r="T121" i="1" s="1"/>
  <c r="I122" i="1" s="1"/>
  <c r="J121" i="11"/>
  <c r="BI122" i="1"/>
  <c r="V122" i="10"/>
  <c r="AP122" i="8"/>
  <c r="AC122" i="7"/>
  <c r="AJ122" i="7" s="1"/>
  <c r="AK122" i="5"/>
  <c r="C122" i="11"/>
  <c r="I121" i="11"/>
  <c r="O121" i="7"/>
  <c r="T121" i="8"/>
  <c r="W121" i="8" s="1"/>
  <c r="V121" i="8"/>
  <c r="P121" i="7" l="1"/>
  <c r="F121" i="9"/>
  <c r="AO122" i="1"/>
  <c r="BJ122" i="1"/>
  <c r="Z121" i="2"/>
  <c r="C121" i="8"/>
  <c r="Y121" i="2" l="1"/>
  <c r="X121" i="2" s="1"/>
  <c r="W121" i="2" s="1"/>
  <c r="C122" i="2" s="1"/>
  <c r="I122" i="2" l="1"/>
  <c r="AA122" i="1" s="1"/>
  <c r="S122" i="1" s="1"/>
  <c r="H123" i="1" s="1"/>
  <c r="S122" i="8"/>
  <c r="F122" i="1"/>
  <c r="F122" i="2"/>
  <c r="H122" i="2"/>
  <c r="AP122" i="1" l="1"/>
  <c r="T122" i="1" s="1"/>
  <c r="I123" i="1" s="1"/>
  <c r="J122" i="11"/>
  <c r="G122" i="2"/>
  <c r="V122" i="8"/>
  <c r="T122" i="8"/>
  <c r="W122" i="8" s="1"/>
  <c r="C123" i="11"/>
  <c r="AP123" i="8"/>
  <c r="V123" i="10"/>
  <c r="AC123" i="7"/>
  <c r="AJ123" i="7" s="1"/>
  <c r="AK123" i="5"/>
  <c r="BI123" i="1"/>
  <c r="I122" i="11"/>
  <c r="O122" i="7"/>
  <c r="Z122" i="2" l="1"/>
  <c r="C122" i="8"/>
  <c r="P122" i="7"/>
  <c r="F122" i="9"/>
  <c r="BJ123" i="1"/>
  <c r="AO123" i="1"/>
  <c r="Y122" i="2" l="1"/>
  <c r="X122" i="2" s="1"/>
  <c r="W122" i="2" s="1"/>
  <c r="C123" i="2" s="1"/>
  <c r="S123" i="8" l="1"/>
  <c r="F123" i="1"/>
  <c r="H123" i="2"/>
  <c r="F123" i="2"/>
  <c r="I123" i="2"/>
  <c r="O123" i="7" l="1"/>
  <c r="I123" i="11"/>
  <c r="AA123" i="1"/>
  <c r="S123" i="1" s="1"/>
  <c r="H124" i="1" s="1"/>
  <c r="G123" i="2"/>
  <c r="AP123" i="1"/>
  <c r="T123" i="1" s="1"/>
  <c r="I124" i="1" s="1"/>
  <c r="J123" i="11"/>
  <c r="T123" i="8"/>
  <c r="W123" i="8" s="1"/>
  <c r="V123" i="8"/>
  <c r="P123" i="7" l="1"/>
  <c r="F123" i="9"/>
  <c r="Z123" i="2"/>
  <c r="C123" i="8"/>
  <c r="AO124" i="1"/>
  <c r="BJ124" i="1"/>
  <c r="C124" i="11"/>
  <c r="BI124" i="1"/>
  <c r="AP124" i="8"/>
  <c r="V124" i="10"/>
  <c r="AK124" i="5"/>
  <c r="AC124" i="7"/>
  <c r="AJ124" i="7" s="1"/>
  <c r="Y123" i="2" l="1"/>
  <c r="X123" i="2" s="1"/>
  <c r="W123" i="2" s="1"/>
  <c r="C124" i="2" s="1"/>
  <c r="S124" i="8" l="1"/>
  <c r="F124" i="1"/>
  <c r="F124" i="2"/>
  <c r="H124" i="2"/>
  <c r="I124" i="2"/>
  <c r="I124" i="11" l="1"/>
  <c r="O124" i="7"/>
  <c r="AP124" i="1"/>
  <c r="T124" i="1" s="1"/>
  <c r="I125" i="1" s="1"/>
  <c r="J124" i="11"/>
  <c r="G124" i="2"/>
  <c r="AA124" i="1"/>
  <c r="S124" i="1" s="1"/>
  <c r="H125" i="1" s="1"/>
  <c r="V124" i="8"/>
  <c r="T124" i="8"/>
  <c r="W124" i="8" s="1"/>
  <c r="F124" i="9" l="1"/>
  <c r="P124" i="7"/>
  <c r="AP125" i="8"/>
  <c r="BI125" i="1"/>
  <c r="AC125" i="7"/>
  <c r="AJ125" i="7" s="1"/>
  <c r="AK125" i="5"/>
  <c r="V125" i="10"/>
  <c r="C125" i="11"/>
  <c r="Z124" i="2"/>
  <c r="C124" i="8"/>
  <c r="BJ125" i="1"/>
  <c r="AO125" i="1"/>
  <c r="Y124" i="2" l="1"/>
  <c r="X124" i="2" s="1"/>
  <c r="W124" i="2" s="1"/>
  <c r="C125" i="2" s="1"/>
  <c r="S125" i="8" l="1"/>
  <c r="F125" i="1"/>
  <c r="H125" i="2"/>
  <c r="I125" i="2"/>
  <c r="F125" i="2"/>
  <c r="O125" i="7" l="1"/>
  <c r="I125" i="11"/>
  <c r="AA125" i="1"/>
  <c r="S125" i="1" s="1"/>
  <c r="H126" i="1" s="1"/>
  <c r="V125" i="8"/>
  <c r="T125" i="8"/>
  <c r="W125" i="8" s="1"/>
  <c r="AP125" i="1"/>
  <c r="T125" i="1" s="1"/>
  <c r="I126" i="1" s="1"/>
  <c r="J125" i="11"/>
  <c r="G125" i="2"/>
  <c r="BJ126" i="1" l="1"/>
  <c r="AO126" i="1"/>
  <c r="C125" i="8"/>
  <c r="Z125" i="2"/>
  <c r="P125" i="7"/>
  <c r="F125" i="9"/>
  <c r="BI126" i="1"/>
  <c r="C126" i="11"/>
  <c r="AP126" i="8"/>
  <c r="V126" i="10"/>
  <c r="AC126" i="7"/>
  <c r="AJ126" i="7" s="1"/>
  <c r="AK126" i="5"/>
  <c r="Y125" i="2" l="1"/>
  <c r="X125" i="2" s="1"/>
  <c r="W125" i="2" s="1"/>
  <c r="C126" i="2" s="1"/>
  <c r="S126" i="8" l="1"/>
  <c r="F126" i="1"/>
  <c r="H126" i="2"/>
  <c r="F126" i="2"/>
  <c r="I126" i="2"/>
  <c r="I126" i="11" l="1"/>
  <c r="O126" i="7"/>
  <c r="G126" i="2"/>
  <c r="AP126" i="1"/>
  <c r="T126" i="1" s="1"/>
  <c r="I127" i="1" s="1"/>
  <c r="J126" i="11"/>
  <c r="AA126" i="1"/>
  <c r="S126" i="1" s="1"/>
  <c r="H127" i="1" s="1"/>
  <c r="T126" i="8"/>
  <c r="W126" i="8" s="1"/>
  <c r="V126" i="8"/>
  <c r="C127" i="11" l="1"/>
  <c r="V127" i="10"/>
  <c r="BI127" i="1"/>
  <c r="AK127" i="5"/>
  <c r="AP127" i="8"/>
  <c r="AC127" i="7"/>
  <c r="AJ127" i="7" s="1"/>
  <c r="BJ127" i="1"/>
  <c r="AO127" i="1"/>
  <c r="P126" i="7"/>
  <c r="F126" i="9"/>
  <c r="Z126" i="2"/>
  <c r="C126" i="8"/>
  <c r="Y126" i="2" l="1"/>
  <c r="X126" i="2" s="1"/>
  <c r="W126" i="2" s="1"/>
  <c r="C127" i="2" s="1"/>
  <c r="I127" i="2" l="1"/>
  <c r="AA127" i="1" s="1"/>
  <c r="S127" i="1" s="1"/>
  <c r="H128" i="1" s="1"/>
  <c r="F127" i="1"/>
  <c r="S127" i="8"/>
  <c r="H127" i="2"/>
  <c r="F127" i="2"/>
  <c r="G127" i="2" l="1"/>
  <c r="J127" i="11"/>
  <c r="AP127" i="1"/>
  <c r="T127" i="1" s="1"/>
  <c r="I128" i="1" s="1"/>
  <c r="T127" i="8"/>
  <c r="W127" i="8" s="1"/>
  <c r="V127" i="8"/>
  <c r="AK128" i="5"/>
  <c r="BI128" i="1"/>
  <c r="C128" i="11"/>
  <c r="V128" i="10"/>
  <c r="AP128" i="8"/>
  <c r="AC128" i="7"/>
  <c r="AJ128" i="7" s="1"/>
  <c r="I127" i="11"/>
  <c r="O127" i="7"/>
  <c r="P127" i="7" l="1"/>
  <c r="F127" i="9"/>
  <c r="BJ128" i="1"/>
  <c r="AO128" i="1"/>
  <c r="Z127" i="2"/>
  <c r="C127" i="8"/>
  <c r="Y127" i="2" l="1"/>
  <c r="X127" i="2" s="1"/>
  <c r="W127" i="2" s="1"/>
  <c r="C128" i="2" s="1"/>
  <c r="I128" i="2" l="1"/>
  <c r="AA128" i="1" s="1"/>
  <c r="S128" i="1" s="1"/>
  <c r="H129" i="1" s="1"/>
  <c r="F128" i="1"/>
  <c r="S128" i="8"/>
  <c r="F128" i="2"/>
  <c r="H128" i="2"/>
  <c r="V128" i="8" l="1"/>
  <c r="T128" i="8"/>
  <c r="W128" i="8" s="1"/>
  <c r="C129" i="11"/>
  <c r="BI129" i="1"/>
  <c r="AP129" i="8"/>
  <c r="AK129" i="5"/>
  <c r="V129" i="10"/>
  <c r="AC129" i="7"/>
  <c r="AJ129" i="7" s="1"/>
  <c r="AP128" i="1"/>
  <c r="T128" i="1" s="1"/>
  <c r="I129" i="1" s="1"/>
  <c r="J128" i="11"/>
  <c r="G128" i="2"/>
  <c r="I128" i="11"/>
  <c r="O128" i="7"/>
  <c r="Z128" i="2" l="1"/>
  <c r="C128" i="8"/>
  <c r="P128" i="7"/>
  <c r="F128" i="9"/>
  <c r="BJ129" i="1"/>
  <c r="AO129" i="1"/>
  <c r="Y128" i="2" l="1"/>
  <c r="X128" i="2" s="1"/>
  <c r="W128" i="2" s="1"/>
  <c r="C129" i="2" s="1"/>
  <c r="S129" i="8" l="1"/>
  <c r="F129" i="1"/>
  <c r="I129" i="2"/>
  <c r="H129" i="2"/>
  <c r="F129" i="2"/>
  <c r="AP129" i="1" l="1"/>
  <c r="T129" i="1" s="1"/>
  <c r="I130" i="1" s="1"/>
  <c r="J129" i="11"/>
  <c r="G129" i="2"/>
  <c r="I129" i="11"/>
  <c r="O129" i="7"/>
  <c r="AA129" i="1"/>
  <c r="S129" i="1" s="1"/>
  <c r="H130" i="1" s="1"/>
  <c r="T129" i="8"/>
  <c r="W129" i="8" s="1"/>
  <c r="V129" i="8"/>
  <c r="C129" i="8" l="1"/>
  <c r="Z129" i="2"/>
  <c r="V130" i="10"/>
  <c r="BI130" i="1"/>
  <c r="AP130" i="8"/>
  <c r="AK130" i="5"/>
  <c r="C130" i="11"/>
  <c r="AC130" i="7"/>
  <c r="AJ130" i="7" s="1"/>
  <c r="F129" i="9"/>
  <c r="P129" i="7"/>
  <c r="BJ130" i="1"/>
  <c r="AO130" i="1"/>
  <c r="Y129" i="2" l="1"/>
  <c r="X129" i="2" s="1"/>
  <c r="W129" i="2" s="1"/>
  <c r="C130" i="2" s="1"/>
  <c r="I130" i="2" l="1"/>
  <c r="AA130" i="1" s="1"/>
  <c r="S130" i="1" s="1"/>
  <c r="H131" i="1" s="1"/>
  <c r="F130" i="2"/>
  <c r="H130" i="2"/>
  <c r="F130" i="1"/>
  <c r="S130" i="8"/>
  <c r="V130" i="8" l="1"/>
  <c r="T130" i="8"/>
  <c r="W130" i="8" s="1"/>
  <c r="J130" i="11"/>
  <c r="G130" i="2"/>
  <c r="AP130" i="1"/>
  <c r="T130" i="1" s="1"/>
  <c r="I131" i="1" s="1"/>
  <c r="V131" i="10"/>
  <c r="BI131" i="1"/>
  <c r="C131" i="11"/>
  <c r="AK131" i="5"/>
  <c r="AP131" i="8"/>
  <c r="AC131" i="7"/>
  <c r="AJ131" i="7" s="1"/>
  <c r="I130" i="11"/>
  <c r="O130" i="7"/>
  <c r="F130" i="9" l="1"/>
  <c r="P130" i="7"/>
  <c r="AO131" i="1"/>
  <c r="BJ131" i="1"/>
  <c r="Z130" i="2"/>
  <c r="C130" i="8"/>
  <c r="Y130" i="2" l="1"/>
  <c r="X130" i="2" s="1"/>
  <c r="W130" i="2" s="1"/>
  <c r="C131" i="2" s="1"/>
  <c r="I131" i="2" l="1"/>
  <c r="AA131" i="1" s="1"/>
  <c r="S131" i="1" s="1"/>
  <c r="H132" i="1" s="1"/>
  <c r="F131" i="2"/>
  <c r="F131" i="1"/>
  <c r="S131" i="8"/>
  <c r="H131" i="2"/>
  <c r="T131" i="8" l="1"/>
  <c r="W131" i="8" s="1"/>
  <c r="V131" i="8"/>
  <c r="AK132" i="5"/>
  <c r="C132" i="11"/>
  <c r="V132" i="10"/>
  <c r="BI132" i="1"/>
  <c r="AP132" i="8"/>
  <c r="AC132" i="7"/>
  <c r="AJ132" i="7" s="1"/>
  <c r="G131" i="2"/>
  <c r="J131" i="11"/>
  <c r="AP131" i="1"/>
  <c r="T131" i="1" s="1"/>
  <c r="I132" i="1" s="1"/>
  <c r="O131" i="7"/>
  <c r="I131" i="11"/>
  <c r="P131" i="7" l="1"/>
  <c r="F131" i="9"/>
  <c r="C131" i="8"/>
  <c r="Z131" i="2"/>
  <c r="BJ132" i="1"/>
  <c r="AO132" i="1"/>
  <c r="Y131" i="2" l="1"/>
  <c r="X131" i="2" s="1"/>
  <c r="W131" i="2" s="1"/>
  <c r="C132" i="2" s="1"/>
  <c r="F132" i="2" l="1"/>
  <c r="S132" i="8"/>
  <c r="F132" i="1"/>
  <c r="H132" i="2"/>
  <c r="I132" i="2"/>
  <c r="O132" i="7" l="1"/>
  <c r="I132" i="11"/>
  <c r="AA132" i="1"/>
  <c r="S132" i="1" s="1"/>
  <c r="H133" i="1" s="1"/>
  <c r="T132" i="8"/>
  <c r="W132" i="8" s="1"/>
  <c r="V132" i="8"/>
  <c r="G132" i="2"/>
  <c r="AP132" i="1"/>
  <c r="T132" i="1" s="1"/>
  <c r="I133" i="1" s="1"/>
  <c r="J132" i="11"/>
  <c r="F132" i="9" l="1"/>
  <c r="P132" i="7"/>
  <c r="BJ133" i="1"/>
  <c r="AO133" i="1"/>
  <c r="Z132" i="2"/>
  <c r="C132" i="8"/>
  <c r="AK133" i="5"/>
  <c r="BI133" i="1"/>
  <c r="AP133" i="8"/>
  <c r="V133" i="10"/>
  <c r="AC133" i="7"/>
  <c r="AJ133" i="7" s="1"/>
  <c r="C133" i="11"/>
  <c r="Y132" i="2" l="1"/>
  <c r="X132" i="2" s="1"/>
  <c r="W132" i="2" s="1"/>
  <c r="C133" i="2" s="1"/>
  <c r="I133" i="2" l="1"/>
  <c r="AA133" i="1" s="1"/>
  <c r="S133" i="1" s="1"/>
  <c r="H134" i="1" s="1"/>
  <c r="S133" i="8"/>
  <c r="H133" i="2"/>
  <c r="F133" i="1"/>
  <c r="F133" i="2"/>
  <c r="AK134" i="5" l="1"/>
  <c r="V134" i="10"/>
  <c r="AC134" i="7"/>
  <c r="AJ134" i="7" s="1"/>
  <c r="C134" i="11"/>
  <c r="AP134" i="8"/>
  <c r="BI134" i="1"/>
  <c r="G133" i="2"/>
  <c r="J133" i="11"/>
  <c r="AP133" i="1"/>
  <c r="T133" i="1" s="1"/>
  <c r="I134" i="1" s="1"/>
  <c r="T133" i="8"/>
  <c r="W133" i="8" s="1"/>
  <c r="V133" i="8"/>
  <c r="I133" i="11"/>
  <c r="O133" i="7"/>
  <c r="BJ134" i="1" l="1"/>
  <c r="AO134" i="1"/>
  <c r="P133" i="7"/>
  <c r="F133" i="9"/>
  <c r="C133" i="8"/>
  <c r="Z133" i="2"/>
  <c r="Y133" i="2" l="1"/>
  <c r="X133" i="2" s="1"/>
  <c r="W133" i="2" s="1"/>
  <c r="C134" i="2" s="1"/>
  <c r="I134" i="2" l="1"/>
  <c r="AA134" i="1" s="1"/>
  <c r="S134" i="1" s="1"/>
  <c r="H135" i="1" s="1"/>
  <c r="F134" i="2"/>
  <c r="F134" i="1"/>
  <c r="H134" i="2"/>
  <c r="S134" i="8"/>
  <c r="J134" i="11" l="1"/>
  <c r="AP134" i="1"/>
  <c r="T134" i="1" s="1"/>
  <c r="I135" i="1" s="1"/>
  <c r="G134" i="2"/>
  <c r="V134" i="8"/>
  <c r="T134" i="8"/>
  <c r="W134" i="8" s="1"/>
  <c r="C135" i="11"/>
  <c r="V135" i="10"/>
  <c r="AK135" i="5"/>
  <c r="BI135" i="1"/>
  <c r="AP135" i="8"/>
  <c r="AC135" i="7"/>
  <c r="AJ135" i="7" s="1"/>
  <c r="I134" i="11"/>
  <c r="O134" i="7"/>
  <c r="BJ135" i="1" l="1"/>
  <c r="AO135" i="1"/>
  <c r="Z134" i="2"/>
  <c r="C134" i="8"/>
  <c r="P134" i="7"/>
  <c r="F134" i="9"/>
  <c r="Y134" i="2" l="1"/>
  <c r="X134" i="2" s="1"/>
  <c r="W134" i="2" s="1"/>
  <c r="C135" i="2" s="1"/>
  <c r="F135" i="2" l="1"/>
  <c r="I135" i="2"/>
  <c r="AA135" i="1" s="1"/>
  <c r="S135" i="1" s="1"/>
  <c r="H136" i="1" s="1"/>
  <c r="H135" i="2"/>
  <c r="S135" i="8"/>
  <c r="F135" i="1"/>
  <c r="AK136" i="5" l="1"/>
  <c r="AP136" i="8"/>
  <c r="BI136" i="1"/>
  <c r="C136" i="11"/>
  <c r="V136" i="10"/>
  <c r="AC136" i="7"/>
  <c r="AJ136" i="7" s="1"/>
  <c r="V135" i="8"/>
  <c r="T135" i="8"/>
  <c r="W135" i="8" s="1"/>
  <c r="I135" i="11"/>
  <c r="O135" i="7"/>
  <c r="J135" i="11"/>
  <c r="AP135" i="1"/>
  <c r="T135" i="1" s="1"/>
  <c r="I136" i="1" s="1"/>
  <c r="G135" i="2"/>
  <c r="Z135" i="2" l="1"/>
  <c r="C135" i="8"/>
  <c r="P135" i="7"/>
  <c r="F135" i="9"/>
  <c r="AO136" i="1"/>
  <c r="BJ136" i="1"/>
  <c r="Y135" i="2" l="1"/>
  <c r="X135" i="2" s="1"/>
  <c r="W135" i="2" s="1"/>
  <c r="C136" i="2" s="1"/>
  <c r="F136" i="2" l="1"/>
  <c r="I136" i="2"/>
  <c r="F136" i="1"/>
  <c r="S136" i="8"/>
  <c r="H136" i="2"/>
  <c r="O136" i="7" l="1"/>
  <c r="I136" i="11"/>
  <c r="AA136" i="1"/>
  <c r="S136" i="1" s="1"/>
  <c r="V136" i="8"/>
  <c r="T136" i="8"/>
  <c r="W136" i="8" s="1"/>
  <c r="AP136" i="1"/>
  <c r="T136" i="1" s="1"/>
  <c r="G136" i="2"/>
  <c r="J136" i="11"/>
  <c r="P136" i="7" l="1"/>
  <c r="F136" i="9"/>
  <c r="C136" i="8"/>
  <c r="Z136" i="2"/>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xmlns:xlrd="http://schemas.microsoft.com/office/spreadsheetml/2017/richdata">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<sst xmlns="http://schemas.openxmlformats.org/spreadsheetml/2006/main" count="2938" uniqueCount="1124">
  <si>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</si>
  <si>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</si>
  <si>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</si>
  <si>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</si>
  <si>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</si>
  <si>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</si>
  <si>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</si>
  <si>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</si>
  <si>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</si>
  <si>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</si>
  <si>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</si>
  <si>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</si>
  <si>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</si>
  <si>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</si>
  <si>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</si>
  <si>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</si>
  <si>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</si>
  <si>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</si>
  <si>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</si>
  <si>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</si>
  <si>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</si>
  <si>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</si>
  <si>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</si>
  <si>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</si>
  <si>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</si>
  <si>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</si>
  <si>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</si>
  <si>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</si>
  <si>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</si>
  <si>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</si>
  <si>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</si>
  <si>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</si>
  <si>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</si>
  <si>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</si>
  <si>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</si>
  <si>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</si>
  <si>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</si>
  <si>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</si>
  <si>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</si>
  <si>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</si>
  <si>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</si>
  <si>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</si>
  <si>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</si>
  <si>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</si>
  <si>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</si>
  <si>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</si>
  <si>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</si>
  <si>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</si>
  <si>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</si>
  <si>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</si>
  <si>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</si>
  <si>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</si>
  <si>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</si>
  <si>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</si>
  <si>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</si>
  <si>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</si>
  <si>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</si>
  <si>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</si>
  <si>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</si>
  <si>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</si>
  <si>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</si>
  <si>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</si>
  <si>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</si>
  <si>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</si>
  <si>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</si>
  <si>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</si>
  <si>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</si>
  <si>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</si>
  <si>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</si>
  <si>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</si>
  <si>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</si>
  <si>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</si>
  <si>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</si>
  <si>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</si>
  <si>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</si>
  <si>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</si>
  <si>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</si>
  <si>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</si>
  <si>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</si>
  <si>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</si>
  <si>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</si>
  <si>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</si>
  <si>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</si>
  <si>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</si>
  <si>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</si>
  <si>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</si>
  <si>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</si>
  <si>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</si>
  <si>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</si>
  <si>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</si>
  <si>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</si>
  <si>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</si>
  <si>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</si>
  <si>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</si>
  <si>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</si>
  <si>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</si>
  <si>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</si>
  <si>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</si>
  <si>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</si>
  <si>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</si>
  <si>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</si>
  <si>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</si>
  <si>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</si>
  <si>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</si>
  <si>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</si>
  <si>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</si>
  <si>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</si>
  <si>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</si>
  <si>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</si>
  <si>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</si>
  <si>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</si>
  <si>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</si>
  <si>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</si>
  <si>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</si>
  <si>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</si>
  <si>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</si>
  <si>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</si>
  <si>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</si>
  <si>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</si>
  <si>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</si>
  <si>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</si>
  <si>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</si>
  <si>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</si>
  <si>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</si>
  <si>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</si>
  <si>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</si>
  <si>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</si>
  <si>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</si>
  <si>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</si>
  <si>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</si>
  <si>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</si>
  <si>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</si>
  <si>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</si>
  <si>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</si>
  <si>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</si>
  <si>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</si>
  <si>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</si>
  <si>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</si>
  <si>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</si>
  <si>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</si>
  <si>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</si>
  <si>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</si>
  <si>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</si>
  <si>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</si>
  <si>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</si>
  <si>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</si>
  <si>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</si>
  <si>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</si>
  <si>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</si>
  <si>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</si>
  <si>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</si>
  <si>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</si>
  <si>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</si>
  <si>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</si>
  <si>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</si>
  <si>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</si>
  <si>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</si>
  <si>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</si>
  <si>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</si>
  <si>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</si>
  <si>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</si>
  <si>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</si>
  <si>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</si>
  <si>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</si>
  <si>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</si>
  <si>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</si>
  <si>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</si>
  <si>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</si>
  <si>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</si>
  <si>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</si>
  <si>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</si>
  <si>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</si>
  <si>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</si>
  <si>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</si>
  <si>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</si>
  <si>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</si>
  <si>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</si>
  <si>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</si>
  <si>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</si>
  <si>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</si>
  <si>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</si>
  <si>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</si>
  <si>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</si>
  <si>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</si>
  <si>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</si>
  <si>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</si>
  <si>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</si>
  <si>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</si>
  <si>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</si>
  <si>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</si>
  <si>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</si>
  <si>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</si>
  <si>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</si>
  <si>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</si>
  <si>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</si>
  <si>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</si>
  <si>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</si>
  <si>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</si>
  <si>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</si>
  <si>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</si>
  <si>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</si>
  <si>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</si>
  <si>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</si>
  <si>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</si>
  <si>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</si>
  <si>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</si>
  <si>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</si>
  <si>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</si>
  <si>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</si>
  <si>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</si>
  <si>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</si>
  <si>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</si>
  <si>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</si>
  <si>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</si>
  <si>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</si>
  <si>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</si>
  <si>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</si>
  <si>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</si>
  <si>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</si>
  <si>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</si>
  <si>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</si>
  <si>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</si>
  <si>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</si>
  <si>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</si>
  <si>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</si>
  <si>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</si>
  <si>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</si>
  <si>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</si>
  <si>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</si>
  <si>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</si>
  <si>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</si>
  <si>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</si>
  <si>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</si>
  <si>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</si>
  <si>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</si>
  <si>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</si>
  <si>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</si>
  <si>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</si>
  <si>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</si>
  <si>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</si>
  <si>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</si>
  <si>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</si>
  <si>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</si>
  <si>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</si>
  <si>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</si>
  <si>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</si>
  <si>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</si>
  <si>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</si>
  <si>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</si>
  <si>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</si>
  <si>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</si>
  <si>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</si>
  <si>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</si>
  <si>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</si>
  <si>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</si>
  <si>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</si>
  <si>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</si>
  <si>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</si>
  <si>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</si>
  <si>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</si>
  <si>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</si>
  <si>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</si>
  <si>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</si>
  <si>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</si>
  <si>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</si>
  <si>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</si>
  <si>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</si>
  <si>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</si>
  <si>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</si>
  <si>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</si>
  <si>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</si>
  <si>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</si>
  <si>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</si>
  <si>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</si>
  <si>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</si>
  <si>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</si>
  <si>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</si>
  <si>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</si>
  <si>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</si>
  <si>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</si>
  <si>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</si>
  <si>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</si>
  <si>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</si>
  <si>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</si>
  <si>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</si>
  <si>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</si>
  <si>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</si>
  <si>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</si>
  <si>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</si>
  <si>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</si>
  <si>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</si>
  <si>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</si>
  <si>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</si>
  <si>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</si>
  <si>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</si>
  <si>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</si>
  <si>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</si>
  <si>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</si>
  <si>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</si>
  <si>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</si>
  <si>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</si>
  <si>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</si>
  <si>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</si>
  <si>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</si>
  <si>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</si>
  <si>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</si>
  <si>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</si>
  <si>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</si>
  <si>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</si>
  <si>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</si>
  <si>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</si>
  <si>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</si>
  <si>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</si>
  <si>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</si>
  <si>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</si>
  <si>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</si>
  <si>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</si>
  <si>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</si>
  <si>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</si>
  <si>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</si>
  <si>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</si>
  <si>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</si>
  <si>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</si>
  <si>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</si>
  <si>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</si>
  <si>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</si>
  <si>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</si>
  <si>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</si>
  <si>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</si>
  <si>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</si>
  <si>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</si>
  <si>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</si>
  <si>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</si>
  <si>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</si>
  <si>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</si>
  <si>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</si>
  <si>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</si>
  <si>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</si>
  <si>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</si>
  <si>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</si>
  <si>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</si>
  <si>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</si>
  <si>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</si>
  <si>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</si>
  <si>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</si>
  <si>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</si>
  <si>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</si>
  <si>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</si>
  <si>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</si>
  <si>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</si>
  <si>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</si>
  <si>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</si>
  <si>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</si>
  <si>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</si>
  <si>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</si>
  <si>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</si>
  <si>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</si>
  <si>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</si>
  <si>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</si>
  <si>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</si>
  <si>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</si>
  <si>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</si>
  <si>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</si>
  <si>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</si>
  <si>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</si>
  <si>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</si>
  <si>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</si>
  <si>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</si>
  <si>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</si>
  <si>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</si>
  <si>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</si>
  <si>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</si>
  <si>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</si>
  <si>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</si>
  <si>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</si>
  <si>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</si>
  <si>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</si>
  <si>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</si>
  <si>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</si>
  <si>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</si>
  <si>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</si>
  <si>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</si>
  <si>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</si>
  <si>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</si>
  <si>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</si>
  <si>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</si>
  <si>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</si>
  <si>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</si>
  <si>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</si>
  <si>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</si>
  <si>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</si>
  <si>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</si>
  <si>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</si>
  <si>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</si>
  <si>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</si>
  <si>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</si>
  <si>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</si>
  <si>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</si>
  <si>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</si>
  <si>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</si>
  <si>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</si>
  <si>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</si>
  <si>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</si>
  <si>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</si>
  <si>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</si>
  <si>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</si>
  <si>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</si>
  <si>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</si>
  <si>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</si>
  <si>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</si>
  <si>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</si>
  <si>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</si>
  <si>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</si>
  <si>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</si>
  <si>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</si>
  <si>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</si>
  <si>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</si>
  <si>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</si>
  <si>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</si>
  <si>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</si>
  <si>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</si>
  <si>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</si>
  <si>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</si>
  <si>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</si>
  <si>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</si>
  <si>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</si>
  <si>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</si>
  <si>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</si>
  <si>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</si>
  <si>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</si>
  <si>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</si>
  <si>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</si>
  <si>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</si>
  <si>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</si>
  <si>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</si>
  <si>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</si>
  <si>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</si>
  <si>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</si>
  <si>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</si>
  <si>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</si>
  <si>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</si>
  <si>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</si>
  <si>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</si>
  <si>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</si>
  <si>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</si>
  <si>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</si>
  <si>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</si>
  <si>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</si>
  <si>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</si>
  <si>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</si>
  <si>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</si>
  <si>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</si>
  <si>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</si>
  <si>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</si>
  <si>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</si>
  <si>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</si>
  <si>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</si>
  <si>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</si>
  <si>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</si>
  <si>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</si>
  <si>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</si>
  <si>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</si>
  <si>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</si>
  <si>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</si>
  <si>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</si>
  <si>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</si>
  <si>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</si>
  <si>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</si>
  <si>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</si>
  <si>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</si>
  <si>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</si>
  <si>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</si>
  <si>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</si>
  <si>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</si>
  <si>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</si>
  <si>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</si>
  <si>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</si>
  <si>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</si>
  <si>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</si>
  <si>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</si>
  <si>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</si>
  <si>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</si>
  <si>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</si>
  <si>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</si>
  <si>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</si>
  <si>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</si>
  <si>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</si>
  <si>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</si>
  <si>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</si>
  <si>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</si>
  <si>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</si>
  <si>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</si>
  <si>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</si>
  <si>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</si>
  <si>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</si>
  <si>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</si>
  <si>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</si>
  <si>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</si>
  <si>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</si>
  <si>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</si>
  <si>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</si>
  <si>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</si>
  <si>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</si>
  <si>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</si>
  <si>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</si>
  <si>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</si>
  <si>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</si>
  <si>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</si>
  <si>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</si>
  <si>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</si>
  <si>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</si>
  <si>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</si>
  <si>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</si>
  <si>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</si>
  <si>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</si>
  <si>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</si>
  <si>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</si>
  <si>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</si>
  <si>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</si>
  <si>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</si>
  <si>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</si>
  <si>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</si>
  <si>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</si>
  <si>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</si>
  <si>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</si>
  <si>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</si>
  <si>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</si>
  <si>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</si>
  <si>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</si>
  <si>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</si>
  <si>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</si>
  <si>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</si>
  <si>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</si>
  <si>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</si>
  <si>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</si>
  <si>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</si>
  <si>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</si>
  <si>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</si>
  <si>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</si>
  <si>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</si>
  <si>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</si>
  <si>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</si>
  <si>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</si>
  <si>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</si>
  <si>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</si>
  <si>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</si>
  <si>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</si>
  <si>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</si>
  <si>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</si>
  <si>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</si>
  <si>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</si>
  <si>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</si>
  <si>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</si>
  <si>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</si>
  <si>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</si>
  <si>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</si>
  <si>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</si>
  <si>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</si>
  <si>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</si>
  <si>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</si>
  <si>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</si>
  <si>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</si>
  <si>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</si>
  <si>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</si>
  <si>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</si>
  <si>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</si>
  <si>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</si>
  <si>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</si>
  <si>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</si>
  <si>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</si>
  <si>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</si>
  <si>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</si>
  <si>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</si>
  <si>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</si>
  <si>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</si>
  <si>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</si>
  <si>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</si>
  <si>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</si>
  <si>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</si>
  <si>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</si>
  <si>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</si>
  <si>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</si>
  <si>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</si>
  <si>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</si>
  <si>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</si>
  <si>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</si>
  <si>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</si>
  <si>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</si>
  <si>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</si>
  <si>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</si>
  <si>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</si>
  <si>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</si>
  <si>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</si>
  <si>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</si>
  <si>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</si>
  <si>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</si>
  <si>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</si>
  <si>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</si>
  <si>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</si>
  <si>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</si>
  <si>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</si>
  <si>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</si>
  <si>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</si>
  <si>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</si>
  <si>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</si>
  <si>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</si>
  <si>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</si>
  <si>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</si>
  <si>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</si>
  <si>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</si>
  <si>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</si>
  <si>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</si>
  <si>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</si>
  <si>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</si>
  <si>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</si>
  <si>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</si>
  <si>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</si>
  <si>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</si>
  <si>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</si>
  <si>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</si>
  <si>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</si>
  <si>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</si>
  <si>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</si>
  <si>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</si>
  <si>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</si>
  <si>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</si>
  <si>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</si>
  <si>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</si>
  <si>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</si>
  <si>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</si>
  <si>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</si>
  <si>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</si>
  <si>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</si>
  <si>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</si>
  <si>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</si>
  <si>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</si>
  <si>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</si>
  <si>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</si>
  <si>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</si>
  <si>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</si>
  <si>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</si>
  <si>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</si>
  <si>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</si>
  <si>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</si>
  <si>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</si>
  <si>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</si>
  <si>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</si>
  <si>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</si>
  <si>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</si>
  <si>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</si>
  <si>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</si>
  <si>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</si>
  <si>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</si>
  <si>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</si>
  <si>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</si>
  <si>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</si>
  <si>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</si>
  <si>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</si>
  <si>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</si>
  <si>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</si>
  <si>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</si>
  <si>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</si>
  <si>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</si>
  <si>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</si>
  <si>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</si>
  <si>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</si>
  <si>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</si>
  <si>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</si>
  <si>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</si>
  <si>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</si>
  <si>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</si>
  <si>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</si>
  <si>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</si>
  <si>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</si>
  <si>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</si>
  <si>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</si>
  <si>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</si>
  <si>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</si>
  <si>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</si>
  <si>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</si>
  <si>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</si>
  <si>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</si>
  <si>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</si>
  <si>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</si>
  <si>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</si>
  <si>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</si>
  <si>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</si>
  <si>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</si>
  <si>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</si>
  <si>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</si>
  <si>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</si>
  <si>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</si>
  <si>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</si>
  <si>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</si>
  <si>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</si>
  <si>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</si>
  <si>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</si>
  <si>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</si>
  <si>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</si>
  <si>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</si>
  <si>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</si>
  <si>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</si>
  <si>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</si>
  <si>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</si>
  <si>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</si>
  <si>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</si>
  <si>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</si>
  <si>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</si>
  <si>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</si>
  <si>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</si>
  <si>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</si>
  <si>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</si>
  <si>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</si>
  <si>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</si>
  <si>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</si>
  <si>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</si>
  <si>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</si>
  <si>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</si>
  <si>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</si>
  <si>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</si>
  <si>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</si>
  <si>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</si>
  <si>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</si>
  <si>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</si>
  <si>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</si>
  <si>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</si>
  <si>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</si>
  <si>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</si>
  <si>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</si>
  <si>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</si>
  <si>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</si>
  <si>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</si>
  <si>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</si>
  <si>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</si>
  <si>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</si>
  <si>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</si>
  <si>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</si>
  <si>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</si>
  <si>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</si>
  <si>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</si>
  <si>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</si>
  <si>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</si>
  <si>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</si>
  <si>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</si>
  <si>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</si>
  <si>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</si>
  <si>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</si>
  <si>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</si>
  <si>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</si>
  <si>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</si>
  <si>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</si>
  <si>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</si>
  <si>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</si>
  <si>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</si>
  <si>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</si>
  <si>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</si>
  <si>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</si>
  <si>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</si>
  <si>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</si>
  <si>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</si>
  <si>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</si>
  <si>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</si>
  <si>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</si>
  <si>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</si>
  <si>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</si>
  <si>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</si>
  <si>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</si>
  <si>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</si>
  <si>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</si>
  <si>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</si>
  <si>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</si>
  <si>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</si>
  <si>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</si>
  <si>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</si>
  <si>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</si>
  <si>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</si>
  <si>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</si>
  <si>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</si>
  <si>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</si>
  <si>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</si>
  <si>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</si>
  <si>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</si>
  <si>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</si>
  <si>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</si>
  <si>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</si>
  <si>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</si>
  <si>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</si>
  <si>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</si>
  <si>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</si>
  <si>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</si>
  <si>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</si>
  <si>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</si>
  <si>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</si>
  <si>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</si>
  <si>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</si>
  <si>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</si>
  <si>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</si>
  <si>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</si>
  <si>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</si>
  <si>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</si>
  <si>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</si>
  <si>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</si>
  <si>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</si>
  <si>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</si>
  <si>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</si>
  <si>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</si>
  <si>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</si>
  <si>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</si>
  <si>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</si>
  <si>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</si>
  <si>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</si>
  <si>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</si>
  <si>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</si>
  <si>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</si>
  <si>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</si>
  <si>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</si>
  <si>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</si>
  <si>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</si>
  <si>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</si>
  <si>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</si>
  <si>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</si>
  <si>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</si>
  <si>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</si>
  <si>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</si>
  <si>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</si>
  <si>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</si>
  <si>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</si>
  <si>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</si>
  <si>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</si>
  <si>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</si>
  <si>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</si>
  <si>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</si>
  <si>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</si>
  <si>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</si>
  <si>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</si>
  <si>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</si>
  <si>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</si>
  <si>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</si>
  <si>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</si>
  <si>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</si>
  <si>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</si>
  <si>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</si>
  <si>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</si>
  <si>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</si>
  <si>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</si>
  <si>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</si>
  <si>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</si>
  <si>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</si>
  <si>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</si>
  <si>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</si>
  <si>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</si>
  <si>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</si>
  <si>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</si>
  <si>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</si>
  <si>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</si>
  <si>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</si>
  <si>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</si>
  <si>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</si>
  <si>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</si>
  <si>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</si>
  <si>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</si>
  <si>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</si>
  <si>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</si>
  <si>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</si>
  <si>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</si>
  <si>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</si>
  <si>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</si>
  <si>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</si>
  <si>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</si>
  <si>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</si>
  <si>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</si>
  <si>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</si>
  <si>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</si>
  <si>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</si>
  <si>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</si>
  <si>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</si>
  <si>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</si>
  <si>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</si>
  <si>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</si>
  <si>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</si>
  <si>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</si>
  <si>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</si>
  <si>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</si>
  <si>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</si>
  <si>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</si>
  <si>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</si>
  <si>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</si>
  <si>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</si>
  <si>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</si>
  <si>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</si>
  <si>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</si>
  <si>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</si>
  <si>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</si>
  <si>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</si>
  <si>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</si>
  <si>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</si>
  <si>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</si>
  <si>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</si>
  <si>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</si>
  <si>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</si>
  <si>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</si>
  <si>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</si>
  <si>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</si>
  <si>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</si>
  <si>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</si>
  <si>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</si>
  <si>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</si>
  <si>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</si>
  <si>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</si>
  <si>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</si>
  <si>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</si>
  <si>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</si>
  <si>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</si>
  <si>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</si>
  <si>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</si>
  <si>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</si>
  <si>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</si>
  <si>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</si>
  <si>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</si>
  <si>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</si>
  <si>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</si>
  <si>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</si>
  <si>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</si>
  <si>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</si>
  <si>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</si>
  <si>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</si>
  <si>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</si>
  <si>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</si>
  <si>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</si>
  <si>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</si>
  <si>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</si>
  <si>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</si>
  <si>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</si>
  <si>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</si>
  <si>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</si>
  <si>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</si>
  <si>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</si>
  <si>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</si>
  <si>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</si>
  <si>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</si>
  <si>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</si>
  <si>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</si>
  <si>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</si>
  <si>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</si>
  <si>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</si>
  <si>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</si>
  <si>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</si>
  <si>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</si>
  <si>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</si>
  <si>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</si>
  <si>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</si>
  <si>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</si>
  <si>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</si>
  <si>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</si>
  <si>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</si>
  <si>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</si>
  <si>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</si>
  <si>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</si>
  <si>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</si>
  <si>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</si>
  <si>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</si>
  <si>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</si>
  <si>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</si>
  <si>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</si>
  <si>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</si>
  <si>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</si>
  <si>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</si>
  <si>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</si>
  <si>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</si>
  <si>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</si>
  <si>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</si>
  <si>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</si>
  <si>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</si>
  <si>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</si>
  <si>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</si>
  <si>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</si>
  <si>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</si>
  <si>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</si>
  <si>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</si>
  <si>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</si>
  <si>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</si>
  <si>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</si>
  <si>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</si>
  <si>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</si>
  <si>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</si>
  <si>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</si>
  <si>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</si>
  <si>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</si>
  <si>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</si>
  <si>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</si>
  <si>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</si>
  <si>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</si>
  <si>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</si>
  <si>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</si>
  <si>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</si>
  <si>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</si>
  <si>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</si>
  <si>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</si>
  <si>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</si>
  <si>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</si>
  <si>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</si>
  <si>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</si>
  <si>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</si>
  <si>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</si>
  <si>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</si>
  <si>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</si>
  <si>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</si>
  <si>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</si>
  <si>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</si>
  <si>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</si>
  <si>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</si>
  <si>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</si>
  <si>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</si>
  <si>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</si>
  <si>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</si>
  <si>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</si>
  <si>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</si>
  <si>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</si>
  <si>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</si>
  <si>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</si>
  <si>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</si>
  <si>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</si>
  <si>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</si>
  <si>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</si>
  <si>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</si>
  <si>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</si>
  <si>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</si>
  <si>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</si>
  <si>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</si>
  <si>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</si>
  <si>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</si>
  <si>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</si>
  <si>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</si>
  <si>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</si>
  <si>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</si>
  <si>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</si>
  <si>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</si>
  <si>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</si>
  <si>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</si>
  <si>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</si>
  <si>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</si>
  <si>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</si>
  <si>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</si>
  <si>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</si>
  <si>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</si>
  <si>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</si>
  <si>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</si>
  <si>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</si>
  <si>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</si>
  <si>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</si>
  <si>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</si>
  <si>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</si>
  <si>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</si>
  <si>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</si>
  <si>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</si>
  <si>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</si>
  <si>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</si>
  <si>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</si>
  <si>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</si>
  <si>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</si>
  <si>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</si>
  <si>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</si>
  <si>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</si>
  <si>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</si>
  <si>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</si>
  <si>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</si>
  <si>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</si>
  <si>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</si>
  <si>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</si>
  <si>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</si>
  <si>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</si>
  <si>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</si>
  <si>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</si>
  <si>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</si>
  <si>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</si>
  <si>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</si>
  <si>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</si>
  <si>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</si>
  <si>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</si>
  <si>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</si>
  <si>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</si>
  <si>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</si>
  <si>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</si>
  <si>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</si>
  <si>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</si>
  <si>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</si>
  <si>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</si>
  <si>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</si>
  <si>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</si>
  <si>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</si>
  <si>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</si>
  <si>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</si>
  <si>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</si>
  <si>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</si>
  <si>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</si>
  <si>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</si>
  <si>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</si>
  <si>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</si>
  <si>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</si>
  <si>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</si>
  <si>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</si>
  <si>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</si>
  <si>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</si>
  <si>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</si>
  <si>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</si>
  <si>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</si>
  <si>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</si>
  <si>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</si>
  <si>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</si>
  <si>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</si>
  <si>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</si>
  <si>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</si>
  <si>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</si>
  <si>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OD Round 31 - Test Round</t>
  </si>
  <si>
    <t>Alchemist Frost</t>
  </si>
  <si>
    <t>Train AM</t>
  </si>
  <si>
    <t>Train AS</t>
  </si>
  <si>
    <t>Archspies</t>
  </si>
  <si>
    <t>Release AS</t>
  </si>
  <si>
    <t>Release AM</t>
  </si>
  <si>
    <t>ASs Cost</t>
  </si>
  <si>
    <t>Archspy</t>
  </si>
  <si>
    <t xml:space="preserve"> + 1 spy</t>
  </si>
  <si>
    <t>Active Alch Frost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</si>
</sst>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7">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xf numFmtId="0" fontId="4" fillId="0" borderId="0" xfId="0" applyNumberFormat="1" applyFont="1" applyProtection="1">
      <protection hidden="1"/>
    </xf>
    <xf numFmtId="0" fontId="4" fillId="0" borderId="0" xfId="0" applyNumberFormat="1" applyFont="1" applyAlignment="1">
      <alignment horizontal="center"/>
    </xf>
    <xf numFmtId="165" fontId="4" fillId="0" borderId="0" xfId="0" applyNumberFormat="1" applyFont="1" applyAlignme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6">
    <dxf>
      <font>
        <b val="0"/>
        <i val="0"/>
        <strike val="0"/>
        <condense val="0"/>
        <extend val="0"/>
        <outline val="0"/>
        <shadow val="0"/>
        <u val="none"/>
        <vertAlign val="baseline"/>
        <sz val="10"/>
        <color auto="1"/>
        <name val="Arial"/>
        <family val="2"/>
        <scheme val="none"/>
      </font>
      <numFmt numFmtId="13" formatCode="0%"/>
    </dxf>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5"/>
      <tableStyleElement type="headerRow" dxfId="994"/>
      <tableStyleElement type="totalRow" dxfId="993"/>
      <tableStyleElement type="firstColumn" dxfId="992"/>
      <tableStyleElement type="lastColumn" dxfId="991"/>
      <tableStyleElement type="firstRowStripe" dxfId="990"/>
      <tableStyleElement type="secondRowStripe" dxfId="989"/>
      <tableStyleElement type="firstColumnStripe" dxfId="988"/>
    </tableStyle>
    <tableStyle name="TableStyleLight1 3" pivot="0" count="8" xr9:uid="{40048D91-B7B4-48AD-ADA3-F7B5F24E3A0B}">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2" pivot="0" count="8" xr9:uid="{C5C8B11A-65E1-47E8-8B6A-A638EA763C9D}">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4" pivot="0" count="8" xr9:uid="{879439EA-876F-405F-B69E-85273FF10F93}">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2" pivot="0" count="8" xr9:uid="{A2A787F1-3FC0-4774-93F6-6F67EEF4DC05}">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5" pivot="0" count="8" xr9:uid="{CB689928-D93B-4088-A9C6-560B4B9C5E7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2" pivot="0" count="8" xr9:uid="{7B8F54C5-86FC-4F37-89FD-016FBCC24E0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2" pivot="0" count="8" xr9:uid="{03577705-4D4B-4BC8-BE21-E9B4AACE52E1}">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88" dataDxfId="87">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86">
      <calculatedColumnFormula>_xlfn.SINGLE(INDEX(TblRaces[],MATCH(race,TblRaces[Race],0),4))</calculatedColumnFormula>
    </tableColumn>
    <tableColumn id="2" xr3:uid="{00000000-0010-0000-0000-000002000000}" name="Offense" dataDxfId="85">
      <calculatedColumnFormula>_xlfn.IFNA(INDEX(TblRaces[],MATCH(TblUnits[[#This Row],[Unit Names]],TblRaces[Unitname],0),5),"")</calculatedColumnFormula>
    </tableColumn>
    <tableColumn id="3" xr3:uid="{00000000-0010-0000-0000-000003000000}" name="Defense" dataDxfId="84">
      <calculatedColumnFormula>_xlfn.IFNA(INDEX(TblRaces[],MATCH(TblUnits[[#This Row],[Unit Names]],TblRaces[Unitname],0),6),"")</calculatedColumnFormula>
    </tableColumn>
    <tableColumn id="4" xr3:uid="{00000000-0010-0000-0000-000004000000}" name="Platinum" dataDxfId="83">
      <calculatedColumnFormula>_xlfn.IFNA(INDEX(TblRaces[],MATCH(TblUnits[[#This Row],[Unit Names]],TblRaces[Unitname],0),7),"")</calculatedColumnFormula>
    </tableColumn>
    <tableColumn id="5" xr3:uid="{00000000-0010-0000-0000-000005000000}" name="Ore" dataDxfId="82">
      <calculatedColumnFormula>_xlfn.IFNA(INDEX(TblRaces[],MATCH(TblUnits[[#This Row],[Unit Names]],TblRaces[Unitname],0),8),"")</calculatedColumnFormula>
    </tableColumn>
    <tableColumn id="6" xr3:uid="{00000000-0010-0000-0000-000006000000}" name="Networth" dataDxfId="81">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1" dataDxfId="929" headerRowBorderDxfId="930" tableBorderDxfId="928">
  <autoFilter ref="H14:I32" xr:uid="{6EDA5300-DB26-4799-A5D1-5432AC102827}">
    <filterColumn colId="0" hiddenButton="1"/>
    <filterColumn colId="1" hiddenButton="1"/>
  </autoFilter>
  <tableColumns count="2">
    <tableColumn id="1" xr3:uid="{C93253AD-A598-462C-985D-E538FB5404AF}" name="Race Bonuses" dataDxfId="927"/>
    <tableColumn id="2" xr3:uid="{7301230A-1354-4459-BA19-9D8AE9608978}" name="Bonus" dataDxfId="926"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5" dataDxfId="924" tableBorderDxfId="923">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2"/>
    <tableColumn id="2" xr3:uid="{F7BA9D3F-F979-435F-AF55-B8562C7F08C8}" name=" " dataDxfId="921"/>
    <tableColumn id="3" xr3:uid="{C661B1D0-1EAD-42B7-889A-9265EA75CB1D}" name="Offense" dataDxfId="920"/>
    <tableColumn id="4" xr3:uid="{594F8FE6-285D-432D-AB90-DE26655C8963}" name="Bonus" dataDxfId="919"/>
    <tableColumn id="5" xr3:uid="{1A4EBEB0-1016-4D5D-920D-08D8AD7AFC97}" name="OP Mod" dataDxfId="918"/>
    <tableColumn id="6" xr3:uid="{0A455978-2417-4AD7-8969-95433ADAC6F4}" name="Defense" dataDxfId="917"/>
    <tableColumn id="7" xr3:uid="{3C4FEC10-2BEB-4EC0-AA98-F67CC8DBE5B5}" name="DP Bonus" dataDxfId="916"/>
    <tableColumn id="8" xr3:uid="{9CE669CC-5E7B-4E7B-8FFE-265EB626E935}" name="DP Mod" dataDxfId="915"/>
    <tableColumn id="9" xr3:uid="{7DE0C022-18E9-48B5-8835-9B63E8CC1CDF}" name="." dataDxfId="914"/>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3" dataDxfId="911" headerRowBorderDxfId="912" tableBorderDxfId="910">
  <autoFilter ref="H47:J51" xr:uid="{86CCA094-2F84-4D6A-BB34-AED37B4839D4}">
    <filterColumn colId="0" hiddenButton="1"/>
    <filterColumn colId="1" hiddenButton="1"/>
    <filterColumn colId="2" hiddenButton="1"/>
  </autoFilter>
  <tableColumns count="3">
    <tableColumn id="1" xr3:uid="{E0152EC7-4145-4063-BAB4-B6301A014F4B}" name="Type" dataDxfId="909"/>
    <tableColumn id="2" xr3:uid="{FAE1A1FE-F8EC-48F0-A8AF-ADF4B1F44E93}" name="Raw" dataDxfId="908"/>
    <tableColumn id="3" xr3:uid="{AFD4C97E-F124-4CC9-8087-32A6EB65C3D5}" name="Modded" dataDxfId="907"/>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6" dataDxfId="904" headerRowBorderDxfId="905" tableBorderDxfId="903">
  <autoFilter ref="H54:J57" xr:uid="{4A95BFF0-5AE4-4064-BA31-9F687E8E34BD}">
    <filterColumn colId="0" hiddenButton="1"/>
    <filterColumn colId="1" hiddenButton="1"/>
    <filterColumn colId="2" hiddenButton="1"/>
  </autoFilter>
  <tableColumns count="3">
    <tableColumn id="1" xr3:uid="{ACCDFB1C-E1AE-4F10-BB67-59F2B9780D01}" name="Hour" dataDxfId="902"/>
    <tableColumn id="2" xr3:uid="{277A266C-0AEF-4864-99C7-1E807FF68978}" name="Amount" dataDxfId="901"/>
    <tableColumn id="3" xr3:uid="{DD724D20-8039-4E15-A45D-F535D999ED97}" name="Without Training" dataDxfId="900"/>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9" dataDxfId="898" totalsRowDxfId="896" tableBorderDxfId="897">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5" totalsRowDxfId="894"/>
    <tableColumn id="2" xr3:uid="{739DBC51-BC77-4631-B107-088DC25245EB}" name="Amount" totalsRowFunction="sum" dataDxfId="893" totalsRowDxfId="892"/>
    <tableColumn id="3" xr3:uid="{41BF49B0-731E-480A-A25D-802B4380182E}" name="Relative" totalsRowFunction="custom" totalsRowDxfId="891"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0" dataDxfId="889" tableBorderDxfId="888">
  <autoFilter ref="D46:F69" xr:uid="{6C8ACB43-975F-416A-A510-CF883452891C}">
    <filterColumn colId="0" hiddenButton="1"/>
    <filterColumn colId="1" hiddenButton="1"/>
    <filterColumn colId="2" hiddenButton="1"/>
  </autoFilter>
  <tableColumns count="3">
    <tableColumn id="1" xr3:uid="{97F6A0D7-4C71-45E8-A9DA-F3DBEC3693D1}" name="Acres" dataDxfId="887"/>
    <tableColumn id="2" xr3:uid="{70370623-AE12-4AC1-B3BC-5FA6F33097E0}" name=" " dataDxfId="886"/>
    <tableColumn id="3" xr3:uid="{76F2AA18-B160-4225-A8AB-03D1370169AB}" name="   " dataDxfId="885"/>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4" dataDxfId="882" headerRowBorderDxfId="883" tableBorderDxfId="881">
  <autoFilter ref="D14:E18" xr:uid="{AF658822-94AE-4FD8-9D6D-E660E1B5C629}">
    <filterColumn colId="0" hiddenButton="1"/>
    <filterColumn colId="1" hiddenButton="1"/>
  </autoFilter>
  <tableColumns count="2">
    <tableColumn id="1" xr3:uid="{EFD90BA2-CBAC-4BDB-9434-40FB9C2485F4}" name="Date&amp;Time" dataDxfId="880"/>
    <tableColumn id="2" xr3:uid="{CCEF9A0F-7383-4941-A440-9E2452942487}" name="." dataDxfId="879"/>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8" dataDxfId="877" totalsRowDxfId="876">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5" totalsRowDxfId="874">
      <calculatedColumnFormula>TblRezone[[#This Row],[Hour]]</calculatedColumnFormula>
    </tableColumn>
    <tableColumn id="2" xr3:uid="{7657952B-D9DB-46FC-BD8D-612DECDC04FD}" name="Time" dataDxfId="873" totalsRowDxfId="872">
      <calculatedColumnFormula>TblImps[[#This Row],[Time]]</calculatedColumnFormula>
    </tableColumn>
    <tableColumn id="3" xr3:uid="{767542B9-4E58-42E2-85BA-5C1DB6108363}" name="Peasants" dataDxfId="871" totalsRowDxfId="870">
      <calculatedColumnFormula>OFFSET(TblPop[[#This Row],[Peasants]],-1,0)+OFFSET(TblPop[[#This Row],[Net Peasant]],-1,0)+TblMili[[#This Row],[Release Draft]]</calculatedColumnFormula>
    </tableColumn>
    <tableColumn id="4" xr3:uid="{F5DC2705-5767-4AD0-A2E0-E36086D164C0}" name="Military" dataDxfId="869" totalsRowDxfId="868">
      <calculatedColumnFormula>TblMili[[#This Row],[Military]]</calculatedColumnFormula>
    </tableColumn>
    <tableColumn id="5" xr3:uid="{57E397CE-6C2C-48AE-9B2E-52E14099EAFC}" name="Draftees" dataDxfId="867" totalsRowDxfId="866">
      <calculatedColumnFormula>TblMili[[#This Row],[Draftees]]</calculatedColumnFormula>
    </tableColumn>
    <tableColumn id="6" xr3:uid="{7339086D-8AEE-45A5-B78D-EA6FDBA34E10}" name="Total" dataDxfId="865" totalsRowDxfId="864">
      <calculatedColumnFormula>TblPop[[#This Row],[Peasants]]+TblPop[[#This Row],[Military]]</calculatedColumnFormula>
    </tableColumn>
    <tableColumn id="7" xr3:uid="{75D92B6D-F4CA-42F7-80B3-4BF8A336E69C}" name="Military%" dataDxfId="863" totalsRowDxfId="862" dataCellStyle="Percent">
      <calculatedColumnFormula>TblPop[[#This Row],[Military]]/TblPop[[#This Row],[Total]]</calculatedColumnFormula>
    </tableColumn>
    <tableColumn id="8" xr3:uid="{257C6438-3205-4A45-9F91-ACD066CD59E8}" name="Employed" dataDxfId="861" totalsRowDxfId="860" dataCellStyle="Percent">
      <calculatedColumnFormula>MIN(TblPop[[#This Row],[Peasants]],TblPop[[#This Row],[Jobs]])</calculatedColumnFormula>
    </tableColumn>
    <tableColumn id="9" xr3:uid="{B05B6937-2C12-476B-B555-2A8ED6FF34EF}" name="Employment" dataDxfId="859" totalsRowDxfId="858" dataCellStyle="Percent">
      <calculatedColumnFormula>MIN(OFFSET(TblPop[[#This Row],[Jobs]],1,0)/TblPop[[#This Row],[Peasants]],1)</calculatedColumnFormula>
    </tableColumn>
    <tableColumn id="10" xr3:uid="{AD7F9BB7-A630-4BBB-AFEA-37B907196778}" name="Jobs" dataDxfId="857" totalsRowDxfId="856"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55" totalsRowDxfId="854" dataCellStyle="Percent"/>
    <tableColumn id="12" xr3:uid="{2EEFBFF9-40A4-412F-8FEC-C2F4799A06E6}" name=" Draftees" dataDxfId="853" totalsRowDxfId="852">
      <calculatedColumnFormula>TblPop[[#This Row],[Draftees]]</calculatedColumnFormula>
    </tableColumn>
    <tableColumn id="13" xr3:uid="{43729A62-E847-4DBB-BC42-62B1FB3DA7A5}" name="Unit 1" dataDxfId="851" totalsRowDxfId="850">
      <calculatedColumnFormula>TblMili[[#This Row],[Unit 1]]</calculatedColumnFormula>
    </tableColumn>
    <tableColumn id="14" xr3:uid="{C7A024F4-2376-4871-897D-90BEBEBC78B7}" name="Unit 2" dataDxfId="849" totalsRowDxfId="848">
      <calculatedColumnFormula>TblMili[[#This Row],[Unit 2]]</calculatedColumnFormula>
    </tableColumn>
    <tableColumn id="15" xr3:uid="{93EC8730-4D26-4E19-ADAA-3ED5C943F257}" name="Unit 3" dataDxfId="847" totalsRowDxfId="846">
      <calculatedColumnFormula>TblMili[[#This Row],[Unit 3]]</calculatedColumnFormula>
    </tableColumn>
    <tableColumn id="16" xr3:uid="{1A382ACC-9ED2-4A5E-BEE3-781B1DBCF186}" name="Unit 4" dataDxfId="845" totalsRowDxfId="844">
      <calculatedColumnFormula>TblMili[[#This Row],[Unit 4]]</calculatedColumnFormula>
    </tableColumn>
    <tableColumn id="17" xr3:uid="{491D1C19-D1B1-48C7-8FC6-BE77B7CD2635}" name="Spies" dataDxfId="843" totalsRowDxfId="842">
      <calculatedColumnFormula>TblMili[[#This Row],[Spies]]</calculatedColumnFormula>
    </tableColumn>
    <tableColumn id="18" xr3:uid="{1AF95FC5-21CD-41AC-A69F-CF5E9AF4AB85}" name="Wizards" dataDxfId="841" totalsRowDxfId="840">
      <calculatedColumnFormula>TblMili[[#This Row],[Wizards]]</calculatedColumnFormula>
    </tableColumn>
    <tableColumn id="19" xr3:uid="{C157D21E-FD58-4F24-A070-1819A7E2DA97}" name="Archmage" dataDxfId="839" totalsRowDxfId="838">
      <calculatedColumnFormula>TblMili[[#This Row],[Archmages]]</calculatedColumnFormula>
    </tableColumn>
    <tableColumn id="20" xr3:uid="{6BBFB632-E92F-4F29-AE3D-534C8288C615}" name=".." dataDxfId="837" totalsRowDxfId="836"/>
    <tableColumn id="21" xr3:uid="{59CAD00B-A8EE-455B-A015-E17ADF56A7B2}" name="Net max" dataDxfId="94" totalsRowDxfId="835">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34" totalsRowDxfId="833">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32" totalsRowDxfId="831">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30" totalsRowDxfId="829">
      <calculatedColumnFormula>ROUND(TblPop[[#This Row],[Raw Birth]]*(1+TblPop[[#This Row],[Growth]]),0)</calculatedColumnFormula>
    </tableColumn>
    <tableColumn id="25" xr3:uid="{26E60E7F-6DA3-49EF-99E8-26A0DAD2D630}" name="Raw Birth" dataDxfId="828" totalsRowDxfId="827">
      <calculatedColumnFormula>(TblPop[[#This Row],[Peasants]]-TblPop[[#This Row],[Draft Growth]])*raw_pop_growth</calculatedColumnFormula>
    </tableColumn>
    <tableColumn id="26" xr3:uid="{6E1274BE-772F-4747-A295-D51601B4FE11}" name="Draft Growth" dataDxfId="826" totalsRowDxfId="825">
      <calculatedColumnFormula>IF(TblPop[[#This Row],[Military%]]&lt;TblMili[[#This Row],[Draftrate]],ROUND(TblPop[[#This Row],[Peasants]]*Constants!$B$55,0), 0)</calculatedColumnFormula>
    </tableColumn>
    <tableColumn id="27" xr3:uid="{858CE2A0-AC9E-46FE-9A70-AED1578889CB}" name="...." dataDxfId="824" totalsRowDxfId="823"/>
    <tableColumn id="28" xr3:uid="{B271B9C7-94D1-498F-9FBB-69DF5F1BCE3F}" name="Growth" dataDxfId="822" totalsRowDxfId="821"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20" totalsRowDxfId="819"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18" dataDxfId="816" headerRowBorderDxfId="817" tableBorderDxfId="815">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14"/>
    <tableColumn id="2" xr3:uid="{A509F8BB-FCD1-4951-8F3F-2AE2B32FB91D}" name="Time" dataDxfId="813">
      <calculatedColumnFormula>TblImps[[#This Row],[Time]]</calculatedColumnFormula>
    </tableColumn>
    <tableColumn id="3" xr3:uid="{BD173BCD-6C73-484D-BDFC-2CBFE8B32234}" name="Plat Bonus" dataDxfId="812"/>
    <tableColumn id="4" xr3:uid="{9A9B3DEC-EBEC-4801-BF4F-F90BBBCDF331}" name="." dataDxfId="811"/>
    <tableColumn id="5" xr3:uid="{6F9B5905-FA1D-4099-B9CC-6BE237355D58}" name="Land" dataDxfId="810">
      <calculatedColumnFormula>TblConstr[[#This Row],[Land]]</calculatedColumnFormula>
    </tableColumn>
    <tableColumn id="6" xr3:uid="{5ADA8DA4-36DC-4D4F-AE4E-76BDD26AF270}" name="Peasants" dataDxfId="809">
      <calculatedColumnFormula>TblPop[[#This Row],[Peasants]]</calculatedColumnFormula>
    </tableColumn>
    <tableColumn id="7" xr3:uid="{EE7F0FC7-4D30-4144-88EE-9A05AD7BF609}" name="Networth" dataDxfId="808">
      <calculatedColumnFormula>TblMili[[#This Row],[Networth (2)]]</calculatedColumnFormula>
    </tableColumn>
    <tableColumn id="8" xr3:uid="{F7B8E7A7-7AD4-4D83-8297-946670C39E55}" name="Platinum" dataDxfId="807">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806">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805">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804">
      <calculatedColumnFormula>OFFSET(TblProd[[#This Row],[Mana]],-1,0)+OFFSET(TblProd[[#This Row],[Mana/hr]],-1,0)- TblProd[[#This Row],[Expenses Mana]]</calculatedColumnFormula>
    </tableColumn>
    <tableColumn id="12" xr3:uid="{C80C4246-7273-429F-BE79-86B1B4181061}" name="Ore" dataDxfId="803">
      <calculatedColumnFormula>OFFSET(TblProd[[#This Row],[Ore]],-1,0)+OFFSET(TblProd[[#This Row],[Ore/hr]],-1,0) -TblProd[[#This Row],[Expenses Ore]]</calculatedColumnFormula>
    </tableColumn>
    <tableColumn id="13" xr3:uid="{4174B9D9-5881-42F2-A514-2A7372C2B486}" name="Gems" dataDxfId="802">
      <calculatedColumnFormula>OFFSET(TblProd[[#This Row],[Gems]],-1,0)+OFFSET(TblProd[[#This Row],[Gems/hr]],-1,0) - TblProd[[#This Row],[Expenses Gems]]</calculatedColumnFormula>
    </tableColumn>
    <tableColumn id="14" xr3:uid="{C9DF5508-173B-4E9B-BD32-3313FC0AECA9}" name="Boats" dataDxfId="801">
      <calculatedColumnFormula>OFFSET(TblProd[[#This Row],[Boats]],-1,0)+OFFSET(TblProd[[#This Row],[Boats/hr]],-1,0)</calculatedColumnFormula>
    </tableColumn>
    <tableColumn id="15" xr3:uid="{C2EE37F5-4C79-4BD9-BE97-5B3BBB490CD3}" name="Prestige" dataDxfId="800">
      <calculatedColumnFormula>OFFSET(TblProd[[#This Row],[Prestige]],-1,0)</calculatedColumnFormula>
    </tableColumn>
    <tableColumn id="16" xr3:uid="{5EEA2772-71AB-4FF8-BF5F-D1D5B4044943}" name="Techpoints" dataDxfId="799">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98">
      <calculatedColumnFormula>MAX(3900,_xlfn.CEILING.MATH(3600+TblProd[[#This Row],[Land]]*0.65+OFFSET(TblTech[[#This Row],[Sum of tech]],-1,0)*150))</calculatedColumnFormula>
    </tableColumn>
    <tableColumn id="18" xr3:uid="{BC60D6AE-146D-440E-93B9-050DE2CAED7A}" name=".." dataDxfId="797"/>
    <tableColumn id="19" xr3:uid="{F7A6187F-1DDE-45C0-B221-8BA0937C4E35}" name="Plat/hr" dataDxfId="796">
      <calculatedColumnFormula>ROUNDDOWN(TblProd[[#This Row],[Raw Plat/hr]]*(1+TblProd[[#This Row],[Bonus Plat/hr]]),0)</calculatedColumnFormula>
    </tableColumn>
    <tableColumn id="20" xr3:uid="{EBA5F35A-607A-475E-9357-98AF551D44A6}" name="Food/hr" dataDxfId="795">
      <calculatedColumnFormula>ROUND(TblProd[[#This Row],[Raw Food/hr]]*(1+TblProd[[#This Row],[Bonus Food/hr]])-TblProd[[#This Row],[Food decay]]-TblProd[[#This Row],[Food eaten]],0)</calculatedColumnFormula>
    </tableColumn>
    <tableColumn id="21" xr3:uid="{D75AA2A6-F107-4144-8A7D-4BE575236288}" name="Lumber/hr" dataDxfId="794">
      <calculatedColumnFormula>ROUND(TblProd[[#This Row],[Raw Lumber/hr]]*(1+TblProd[[#This Row],[Bonus Lumber/hr]])-TblProd[[#This Row],[Lumber rot]],0)</calculatedColumnFormula>
    </tableColumn>
    <tableColumn id="22" xr3:uid="{4AA82FE8-7AD6-4F9E-B8A1-627CE2E70CE0}" name="Mana/hr" dataDxfId="793">
      <calculatedColumnFormula>ROUND(TblProd[[#This Row],[Raw Mana/hr]]*(1+TblProd[[#This Row],[Bonus Mana/hr]])-TblProd[[#This Row],[Mana drain]],0)</calculatedColumnFormula>
    </tableColumn>
    <tableColumn id="23" xr3:uid="{86A49F4B-CDA3-4B61-B4D9-8830178E715E}" name="Ore/hr" dataDxfId="792">
      <calculatedColumnFormula>ROUNDDOWN(TblProd[[#This Row],[Raw Ore/hr]]*(1+TblProd[[#This Row],[Bonux Ore/hr]]),0)</calculatedColumnFormula>
    </tableColumn>
    <tableColumn id="24" xr3:uid="{F7C3BCF1-3F12-4405-8E19-ED1B9D20D049}" name="Gems/hr" dataDxfId="791">
      <calculatedColumnFormula>ROUNDDOWN(TblProd[[#This Row],[Raw Gems/hr]]*(1+TblProd[[#This Row],[Bonus Gems/hr]]),0)</calculatedColumnFormula>
    </tableColumn>
    <tableColumn id="25" xr3:uid="{E754A630-9007-4F8A-A8B7-C56609E09275}" name="Boats/hr" dataDxfId="790">
      <calculatedColumnFormula>OFFSET(TblConstr[[#This Row],[Tot Doc]],1,0)*dock_boats_hr * (1 + tech_4_1*TblTech[[#This Row],[4-1]])</calculatedColumnFormula>
    </tableColumn>
    <tableColumn id="26" xr3:uid="{8666710D-F3A4-4016-AA32-8D95B9BFFE3D}" name="…" dataDxfId="789"/>
    <tableColumn id="27" xr3:uid="{BE5DAA3C-8D26-4E0F-87D4-E9FE3E149040}" name="Raw Plat/hr" dataDxfId="788">
      <calculatedColumnFormula>TblPop[[#This Row],[Peasants]]*tax*TblPop[[#This Row],[Employment]] + (Construction!AZ5+Construction!BX5)*(alch_plat+(Magic!AM4&gt;0)*alchemist_flame_bonus)</calculatedColumnFormula>
    </tableColumn>
    <tableColumn id="28" xr3:uid="{72437831-3C94-4E01-9B66-637CE9F1FC37}" name="Raw Food/hr" dataDxfId="787">
      <calculatedColumnFormula>TblConstr[[#This Row],[Tot Farm]]*farm_food + TblConstr[[#This Row],[Tot Doc]]*dock_food</calculatedColumnFormula>
    </tableColumn>
    <tableColumn id="29" xr3:uid="{6327048A-17B4-47F0-A6D6-4DF606F8872E}" name="Raw Lumber/hr" dataDxfId="786">
      <calculatedColumnFormula>TblConstr[[#This Row],[Tot Ly]]*ly_lumber + TblConstr[[#This Row],[Tot Hav]]*fh_lumber</calculatedColumnFormula>
    </tableColumn>
    <tableColumn id="30" xr3:uid="{9564EF02-956D-4988-B195-94F7CC0C966B}" name="Raw Mana/hr" dataDxfId="785">
      <calculatedColumnFormula>OFFSET(TblConstr[[#This Row],[Tot Tow]],1,0)*(tower_mana + tech_4_5*TblTech[[#This Row],[4-5]]) + OFFSET(TblConstr[[#This Row],[Tot WG]],1,0)*wg_mana_prod</calculatedColumnFormula>
    </tableColumn>
    <tableColumn id="31" xr3:uid="{1FCC3E78-11E8-4286-A9C0-F9F5FA32B54A}" name="Raw Ore/hr" dataDxfId="784">
      <calculatedColumnFormula>OFFSET(TblConstr[[#This Row],[Tot OM]],1,0)*om_ore+IF(race="Dwarf",ROUNDDOWN(TblMili[[#This Row],[Unit 2]]/2,0),)</calculatedColumnFormula>
    </tableColumn>
    <tableColumn id="32" xr3:uid="{8AFDB340-E76D-4906-8F67-515703AD5439}" name="Raw Gems/hr" dataDxfId="783">
      <calculatedColumnFormula>OFFSET(TblConstr[[#This Row],[Tot DM]],1,0)*dm_gems</calculatedColumnFormula>
    </tableColumn>
    <tableColumn id="33" xr3:uid="{E86B471A-FB4B-478C-B269-80AA28A99240}" name="...." dataDxfId="782"/>
    <tableColumn id="34" xr3:uid="{9F134F8D-9272-4F13-BEA1-036303BDF806}" name="Bonus Plat/hr" dataDxfId="0">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81">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80">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79">
      <calculatedColumnFormula>race_mana_bonus+ 0 + TblImps[[#This Row],[Towers]] + tech_1_2*TblTech[[#This Row],[1-2]] + tech_3_4*TblTech[[#This Row],[3-4]]</calculatedColumnFormula>
    </tableColumn>
    <tableColumn id="38" xr3:uid="{86499F2E-9498-4D5B-8626-C51CB440415E}" name="Bonux Ore/hr" dataDxfId="778">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77">
      <calculatedColumnFormula>race_gem_bonus+ tech_3_2*TblTech[[#This Row],[3-2]] + tech_4_3*TblTech[[#This Row],[4-3]] + tech_6_2*TblTech[[#This Row],[6-2]]</calculatedColumnFormula>
    </tableColumn>
    <tableColumn id="40" xr3:uid="{13CEE817-130E-4D49-8EA9-E724A91FD06F}" name="…." dataDxfId="776"/>
    <tableColumn id="41" xr3:uid="{6AD9C25C-A77A-4288-B914-DEAB151F3EBD}" name="Food decay" dataDxfId="775">
      <calculatedColumnFormula>TblProd[[#This Row],[Food]]*food_decay * (1 + tech_2_1*TblTech[[#This Row],[2-1]] + tech_2_8*TblTech[[#This Row],[2-8]])</calculatedColumnFormula>
    </tableColumn>
    <tableColumn id="42" xr3:uid="{B67A5DCA-7223-49B6-A0AC-BE56416DEAB6}" name="Food eaten" dataDxfId="774">
      <calculatedColumnFormula>(1+race_food_consumption)*TblPop[[#This Row],[Total]]*food_per_person*(1+tech_1_10*TblTech[[#This Row],[1-10]]+tech_7_5*TblTech[[#This Row],[7-5]])</calculatedColumnFormula>
    </tableColumn>
    <tableColumn id="43" xr3:uid="{2D142E97-FF43-492A-B271-A145B85E0BF3}" name="Lumber rot" dataDxfId="773">
      <calculatedColumnFormula>TblProd[[#This Row],[Lumber]]*lumber_rot * (1 + tech_2_1*TblTech[[#This Row],[2-1]] + tech_2_8*TblTech[[#This Row],[2-8]] + tech_5_2*TblTech[[#This Row],[5-2]])</calculatedColumnFormula>
    </tableColumn>
    <tableColumn id="44" xr3:uid="{B4C1A120-AC06-46C7-8824-18C19DD19A05}" name="Mana drain" dataDxfId="772">
      <calculatedColumnFormula>TblProd[[#This Row],[Mana]]*mana_drain * (1 + tech_2_1*TblTech[[#This Row],[2-1]] + tech_2_8*TblTech[[#This Row],[2-8]])</calculatedColumnFormula>
    </tableColumn>
    <tableColumn id="45" xr3:uid="{D3D223E8-8991-4557-84CB-F59345A9686F}" name="….." dataDxfId="771"/>
    <tableColumn id="46" xr3:uid="{0EFE67ED-4C56-4E46-B6BE-B5FAFB53783E}" name="Expenses Platinum" dataDxfId="770">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69">
      <calculatedColumnFormula>TblConstr[[#This Row],[Total Lum Cost]]+TblImps[[#This Row],[L1]]-TblProd[[#This Row],[Bank Lumber]] + Military!$CL$25*TblMili[[#This Row],[Sec. rec. Cost]]</calculatedColumnFormula>
    </tableColumn>
    <tableColumn id="48" xr3:uid="{3C88EFC6-8DA5-40ED-A97A-2AAFD0B3B6AD}" name="Expenses Mana" dataDxfId="768">
      <calculatedColumnFormula>TblMagic[[#This Row],[Mana cost]] + Military!$CL$26*TblMili[[#This Row],[Sec. rec. Cost]]</calculatedColumnFormula>
    </tableColumn>
    <tableColumn id="49" xr3:uid="{1E4E3815-206F-4A61-AE33-CA14E995FDCB}" name="Expenses Ore" dataDxfId="767">
      <calculatedColumnFormula>Military!$CL$24*TblMili[[#This Row],[Sec. rec. Cost]]+TblImps[[#This Row],[O1]]-TblProd[[#This Row],[Bank Ore]]</calculatedColumnFormula>
    </tableColumn>
    <tableColumn id="50" xr3:uid="{8DF861B9-6D00-413F-82A6-CB9FB4344D68}" name="Expenses Gems" dataDxfId="766">
      <calculatedColumnFormula>TblImps[[#This Row],[G1]]-TblProd[[#This Row],[Bank Gems]]</calculatedColumnFormula>
    </tableColumn>
    <tableColumn id="51" xr3:uid="{B251D943-2DAF-44E5-BCC8-D6734C7115AC}" name="…..." dataDxfId="765"/>
    <tableColumn id="52" xr3:uid="{4B9E6D84-D900-4020-9F03-31B7E7CFFDDD}" name="Guard" dataDxfId="764">
      <calculatedColumnFormula>IF(TblProd[[#This Row],[Set Guard]]&lt;&gt;"",TblProd[[#This Row],[Set Guard]],OFFSET(TblProd[[#This Row],[Guard]],-1,0))</calculatedColumnFormula>
    </tableColumn>
    <tableColumn id="53" xr3:uid="{1F4E66ED-8544-4DEE-A238-E9BA6D663684}" name="Set Guard" dataDxfId="763"/>
    <tableColumn id="54" xr3:uid="{1D4B089E-CFD3-41C4-BDA0-74070303A629}" name="Hour (2)" dataDxfId="762">
      <calculatedColumnFormula>TblProd[[#This Row],[Hour]]</calculatedColumnFormula>
    </tableColumn>
    <tableColumn id="55" xr3:uid="{13D8CC8A-81E1-41BB-9F87-384EE02343C0}" name="Bank Plat" dataDxfId="761">
      <calculatedColumnFormula>-TblProd[[#This Row],[Bank Lumber]] / 2 + -TblProd[[#This Row],[Bank Gems]] * 2</calculatedColumnFormula>
    </tableColumn>
    <tableColumn id="56" xr3:uid="{41D3199A-B537-41B8-A35D-AB3FAE3A7763}" name="Bank Lumber" dataDxfId="760"/>
    <tableColumn id="57" xr3:uid="{F8C6B652-BED5-46E0-B507-4A728112F421}" name="Bank Ore" dataDxfId="759"/>
    <tableColumn id="58" xr3:uid="{0A836235-2002-4186-985F-CF495776E28E}" name="Bank Gems" dataDxfId="758"/>
    <tableColumn id="59" xr3:uid="{56B680F7-B10A-487B-B563-4297DE674256}" name="Time (2)" dataDxfId="757">
      <calculatedColumnFormula>TblProd[[#This Row],[Time]]</calculatedColumnFormula>
    </tableColumn>
    <tableColumn id="60" xr3:uid="{B3E3CCBD-6079-4735-A75E-072E37E0325B}" name="Ok?" dataDxfId="756">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55">
      <calculatedColumnFormula>TblProd[[#This Row],[Platinum]]</calculatedColumnFormula>
    </tableColumn>
    <tableColumn id="62" xr3:uid="{BAE994A1-A5C4-42FD-B88E-93A7F2337723}" name="Stats Food" dataDxfId="754">
      <calculatedColumnFormula>TblProd[[#This Row],[Food]]</calculatedColumnFormula>
    </tableColumn>
    <tableColumn id="63" xr3:uid="{8FF996E7-6950-42AE-80FE-25BD3D3ADB81}" name="Stats Lumber" dataDxfId="753">
      <calculatedColumnFormula>TblProd[[#This Row],[Lumber]]</calculatedColumnFormula>
    </tableColumn>
    <tableColumn id="64" xr3:uid="{4E3282B4-65CE-45FC-B881-93C3F98E36E0}" name="Stats Mana" dataDxfId="752">
      <calculatedColumnFormula>TblProd[[#This Row],[Mana]]</calculatedColumnFormula>
    </tableColumn>
    <tableColumn id="65" xr3:uid="{C1490C22-CEF7-430F-B6CC-F7FDA2F90C17}" name="Stats Ore" dataDxfId="751">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50" dataDxfId="748" totalsRowDxfId="746" headerRowBorderDxfId="749" tableBorderDxfId="74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45" totalsRowDxfId="744">
      <calculatedColumnFormula>TblRezone[[#This Row],[Hour]]</calculatedColumnFormula>
    </tableColumn>
    <tableColumn id="1" xr3:uid="{16A4A80A-781E-4E74-BC12-3B194ED2F6BF}" name="Barren" dataDxfId="743" totalsRowDxfId="742">
      <calculatedColumnFormula>SUM(TblConstr[[#This Row],[Plain]:[Water]])</calculatedColumnFormula>
    </tableColumn>
    <tableColumn id="2" xr3:uid="{F83194BF-B786-4A33-B371-25BE7289AC68}" name="Buildings" dataDxfId="741" totalsRowDxfId="740">
      <calculatedColumnFormula>SUM(TblConstr[[#This Row],[Tot Hom]:[Tot Doc]])</calculatedColumnFormula>
    </tableColumn>
    <tableColumn id="3" xr3:uid="{343846C5-19E9-4357-B5DD-B105ACEC8C2C}" name="Incoming" dataDxfId="739" totalsRowDxfId="738"/>
    <tableColumn id="4" xr3:uid="{A20911DB-7155-4794-AD46-07AAD44BDAFE}" name="." dataDxfId="737" totalsRowDxfId="736"/>
    <tableColumn id="5" xr3:uid="{279706A5-BDE6-4F21-9D4E-93DD796722CB}" name="Land" dataDxfId="735" totalsRowDxfId="734">
      <calculatedColumnFormula>TblConstr[[#This Row],[Barren]]+TblConstr[[#This Row],[Buildings]]+TblConstr[[#This Row],[Incoming]]</calculatedColumnFormula>
    </tableColumn>
    <tableColumn id="6" xr3:uid="{8D16C913-6FBB-42B5-890E-7AA3F7D780F3}" name="Plain" dataDxfId="733" totalsRowDxfId="732">
      <calculatedColumnFormula>OFFSET(TblConstr[[#This Row],[Plain]],-1,0)+TblConstr[[#This Row],[Ch_Plain]]</calculatedColumnFormula>
    </tableColumn>
    <tableColumn id="7" xr3:uid="{ECABDC59-2CFA-4924-832F-64BD947684FE}" name="Forest" dataDxfId="731" totalsRowDxfId="730">
      <calculatedColumnFormula>OFFSET(TblConstr[[#This Row],[Forest]],-1,0)+TblConstr[[#This Row],[Ch_Forest]]</calculatedColumnFormula>
    </tableColumn>
    <tableColumn id="8" xr3:uid="{AD888BC9-7B2A-431B-912B-F76B183C4BC2}" name="Mountain" dataDxfId="729" totalsRowDxfId="728">
      <calculatedColumnFormula>OFFSET(TblConstr[[#This Row],[Mountain]],-1,0)+TblConstr[[#This Row],[Ch_Mountain]]</calculatedColumnFormula>
    </tableColumn>
    <tableColumn id="9" xr3:uid="{B9F107CC-9E87-47F0-9669-7B4E32869962}" name="Hill" dataDxfId="727" totalsRowDxfId="726">
      <calculatedColumnFormula>OFFSET(TblConstr[[#This Row],[Hill]],-1,0)+TblConstr[[#This Row],[Ch_Hill]]</calculatedColumnFormula>
    </tableColumn>
    <tableColumn id="10" xr3:uid="{8067675A-D7AC-461C-B5B4-B2FDA278D46E}" name="Swamp" dataDxfId="725" totalsRowDxfId="724">
      <calculatedColumnFormula>OFFSET(TblConstr[[#This Row],[Swamp]],-1,0)+TblConstr[[#This Row],[Ch_Swamp]]</calculatedColumnFormula>
    </tableColumn>
    <tableColumn id="11" xr3:uid="{F6E4B820-D719-41FF-A537-55FE6AFBAF0E}" name="Cavern" dataDxfId="723" totalsRowDxfId="722">
      <calculatedColumnFormula>OFFSET(TblConstr[[#This Row],[Cavern]],-1,0)+TblConstr[[#This Row],[Ch_Cavern]]</calculatedColumnFormula>
    </tableColumn>
    <tableColumn id="12" xr3:uid="{54552E9E-E771-4104-87F6-20952C6A2D90}" name="Water" dataDxfId="721" totalsRowDxfId="720">
      <calculatedColumnFormula>OFFSET(TblConstr[[#This Row],[Water]],-1,0)+TblConstr[[#This Row],[Ch_Water]]</calculatedColumnFormula>
    </tableColumn>
    <tableColumn id="112" xr3:uid="{68F0FBE6-EBED-4B66-81D6-A19DB934C48D}" name="Hour  " dataDxfId="719" totalsRowDxfId="718">
      <calculatedColumnFormula>TblRezone[[#This Row],[Hour]]</calculatedColumnFormula>
    </tableColumn>
    <tableColumn id="14" xr3:uid="{6A739C2B-FED1-46DE-A6EC-2761E132E225}" name="Hom" dataDxfId="717" totalsRowDxfId="716"/>
    <tableColumn id="15" xr3:uid="{E50EB7D2-A060-4B91-920B-B3335EF23400}" name="Alc" dataDxfId="715" totalsRowDxfId="714"/>
    <tableColumn id="16" xr3:uid="{E3F8F390-578A-46F4-8079-68503504AE5A}" name="Far" dataDxfId="713" totalsRowDxfId="712"/>
    <tableColumn id="17" xr3:uid="{CC502929-3E3E-483C-AA45-1E8DC6E6F788}" name="Smi" dataDxfId="711" totalsRowDxfId="710"/>
    <tableColumn id="18" xr3:uid="{2849017C-83D2-48CF-BAFC-E8180F6B87B3}" name="Mas" dataDxfId="709" totalsRowDxfId="708"/>
    <tableColumn id="19" xr3:uid="{902080F0-045E-460C-8A94-D28082F0684A}" name="Ly" dataDxfId="707" totalsRowDxfId="706"/>
    <tableColumn id="20" xr3:uid="{74F11359-7A83-40C9-8D72-4E7342A4C5F6}" name="Hav" dataDxfId="705" totalsRowDxfId="704"/>
    <tableColumn id="21" xr3:uid="{2F4CD982-1BA1-4887-BEEF-D1CEDDFDCD98}" name="OM" dataDxfId="703" totalsRowDxfId="702"/>
    <tableColumn id="22" xr3:uid="{8FB86139-1373-407A-B799-7C5D49EF3A26}" name="GN" dataDxfId="701" totalsRowDxfId="700"/>
    <tableColumn id="23" xr3:uid="{283576BE-DC2F-4C4A-B83A-40303ED03A64}" name="Fac" dataDxfId="699" totalsRowDxfId="698"/>
    <tableColumn id="24" xr3:uid="{5CFB0CBF-3773-41F6-9B86-E1678AA28900}" name="GT" dataDxfId="697" totalsRowDxfId="696"/>
    <tableColumn id="25" xr3:uid="{19E4F682-9015-4478-9312-A3022D1FEEE9}" name="Bar" dataDxfId="695" totalsRowDxfId="694"/>
    <tableColumn id="26" xr3:uid="{013252D4-D385-4331-9170-92B5C8BB4C64}" name="Shr" dataDxfId="693" totalsRowDxfId="692"/>
    <tableColumn id="27" xr3:uid="{D4B27941-E688-419F-8B6F-B73F6CF2AB5B}" name="Tow" dataDxfId="691" totalsRowDxfId="690"/>
    <tableColumn id="28" xr3:uid="{17047BB4-364B-45DB-830B-858C7BD30B39}" name="Tem" dataDxfId="689" totalsRowDxfId="688"/>
    <tableColumn id="29" xr3:uid="{8910E8E2-8D7F-45E2-8559-CB4F40D25EB8}" name="WG" dataDxfId="687" totalsRowDxfId="686"/>
    <tableColumn id="30" xr3:uid="{BDAAD77D-88DB-4E61-9C07-44CAE4913F4B}" name="DM" dataDxfId="685" totalsRowDxfId="684"/>
    <tableColumn id="31" xr3:uid="{BFDB5F50-9A23-4E21-AEF0-8F150174C5D9}" name="Sch" dataDxfId="683" totalsRowDxfId="682"/>
    <tableColumn id="32" xr3:uid="{F4596035-B7F8-4B94-9B36-37B190EBF2F5}" name="Doc" dataDxfId="681" totalsRowDxfId="680"/>
    <tableColumn id="33" xr3:uid="{B506678F-5C96-41A2-B16E-01903002457C}" name="time" dataDxfId="679" totalsRowDxfId="678">
      <calculatedColumnFormula>TblImps[[#This Row],[Time]]</calculatedColumnFormula>
    </tableColumn>
    <tableColumn id="34" xr3:uid="{BBF9E4A7-4AD1-4256-838E-84E222A5E5B5}" name="Facs -DB" dataDxfId="677" totalsRowDxfId="676" dataCellStyle="Percent">
      <calculatedColumnFormula>MIN(25%,(TblConstr[[#This Row],[Tot Fac]]+TblConstr[[#This Row],[Dest Fac]])/(TblConstr[[#This Row],[Land]]-TblExplore[[#This Row],[Land Bonus]]*20))</calculatedColumnFormula>
    </tableColumn>
    <tableColumn id="35" xr3:uid="{CE9651FB-E7AA-4AC3-9369-D03ACA26B669}" name="Facs DB" dataDxfId="675" totalsRowDxfId="674" dataCellStyle="Percent">
      <calculatedColumnFormula>MIN(25%,(TblConstr[[#This Row],[Tot Fac]]+TblConstr[[#This Row],[Dest Fac]])/TblConstr[[#This Row],[Land]])</calculatedColumnFormula>
    </tableColumn>
    <tableColumn id="36" xr3:uid="{09991F89-DEAA-4698-A25A-D13F6565EDD4}" name="Platinum" dataDxfId="673" totalsRowDxfId="672">
      <calculatedColumnFormula>TblProd[[#This Row],[Platinum]]</calculatedColumnFormula>
    </tableColumn>
    <tableColumn id="37" xr3:uid="{98B47891-EB31-4D7F-8AC4-80255A877681}" name="Lumber" dataDxfId="671" totalsRowDxfId="670">
      <calculatedColumnFormula>TblProd[[#This Row],[Lumber]]</calculatedColumnFormula>
    </tableColumn>
    <tableColumn id="38" xr3:uid="{4BCC987F-ABDB-4939-B66E-9E39DDB56076}" name="CPA Platinum -DB" dataDxfId="669" totalsRowDxfId="66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67" totalsRowDxfId="66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65" totalsRowDxfId="66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63" totalsRowDxfId="66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61" totalsRowDxfId="660">
      <calculatedColumnFormula>TblConstr[[#This Row],[build -db]]*TblConstr[[#This Row],[CPA Platinum -DB]] + TblConstr[[#This Row],[build db]]*TblConstr[[#This Row],[CPA Platinum DB]]</calculatedColumnFormula>
    </tableColumn>
    <tableColumn id="43" xr3:uid="{F2E3CBCF-A243-4043-87E8-17546293A159}" name="Total Lum Cost" dataDxfId="659" totalsRowDxfId="658">
      <calculatedColumnFormula>TblConstr[[#This Row],[build -db]]*TblConstr[[#This Row],[CPA Lumber -DB]]+TblConstr[[#This Row],[build db]]*TblConstr[[#This Row],[CPA Lumber DB]]</calculatedColumnFormula>
    </tableColumn>
    <tableColumn id="44" xr3:uid="{119F0A26-AFE5-4C99-86DF-E2019D697B1F}" name="build -db" dataDxfId="657" totalsRowDxfId="65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55" totalsRowDxfId="65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53" totalsRowDxfId="652"/>
    <tableColumn id="47" xr3:uid="{2AB27BA8-C2B6-44FC-89D1-B8C469C03A31}" name="RCPA Platinum " dataDxfId="651" totalsRowDxfId="650">
      <calculatedColumnFormula>ROUND((TblConstr[[#This Row],[Land]]-250 - IF(TblExplore[[#This Row],[Land Bonus]]&lt;&gt;0,20,0))*1.25 + 850 + 0,0)</calculatedColumnFormula>
    </tableColumn>
    <tableColumn id="48" xr3:uid="{745E4D31-3689-4F62-A15B-2D5399E746CA}" name="RCPA Lumber" dataDxfId="649">
      <calculatedColumnFormula>ROUND((TblConstr[[#This Row],[Land]]-250 - IF(TblExplore[[#This Row],[Land Bonus]]&lt;&gt;0,20,0))*0.285 + 87.5 + 0/4.25,0)</calculatedColumnFormula>
    </tableColumn>
    <tableColumn id="49" xr3:uid="{619C112A-EE5A-4710-AF52-5843FF4DB054}" name="…" dataDxfId="648" totalsRowDxfId="647"/>
    <tableColumn id="50" xr3:uid="{F2846ED2-FD2C-4B82-8D89-DEC4D6C89C45}" name="Tot Hom" dataDxfId="646" totalsRowDxfId="645">
      <calculatedColumnFormula array="1">IF(TblConstr[[#This Row],[Hour]:[Hour]]&gt;12,OFFSET(TblConstr[[#This Row],[Hom]],-12,0),0)+OFFSET(TblConstr[[#This Row],[Tot Hom]],-1,0)-TblConstr[[#This Row],[Dest Hom]]</calculatedColumnFormula>
    </tableColumn>
    <tableColumn id="51" xr3:uid="{3A820279-E5AD-460C-8EA2-56927C664532}" name="Tot Alc" dataDxfId="644" totalsRowDxfId="643">
      <calculatedColumnFormula array="1">IF(TblConstr[[#This Row],[Hour]:[Hour]]&gt;12,OFFSET(TblConstr[[#This Row],[Alc]],-12,0),0)+OFFSET(TblConstr[[#This Row],[Tot Alc]],-1,0)-TblConstr[[#This Row],[Dest Alc]]</calculatedColumnFormula>
    </tableColumn>
    <tableColumn id="52" xr3:uid="{2F201F1F-E604-470C-A21C-EF43882A5460}" name="Tot Farm" dataDxfId="642" totalsRowDxfId="641">
      <calculatedColumnFormula array="1">IF(TblConstr[[#This Row],[Hour]:[Hour]]&gt;12,OFFSET(TblConstr[[#This Row],[Far]],-12,0),0)+OFFSET(TblConstr[[#This Row],[Tot Farm]],-1,0)-TblConstr[[#This Row],[Dest Farm]]</calculatedColumnFormula>
    </tableColumn>
    <tableColumn id="53" xr3:uid="{CF25F1ED-4CEE-4702-9FD7-472555CAE1E7}" name="Tot Smi" dataDxfId="640" totalsRowDxfId="639">
      <calculatedColumnFormula array="1">IF(TblConstr[[#This Row],[Hour]:[Hour]]&gt;12,OFFSET(TblConstr[[#This Row],[Smi]],-12,0),0)+OFFSET(TblConstr[[#This Row],[Tot Smi]],-1,0)-TblConstr[[#This Row],[Dest Smi]]</calculatedColumnFormula>
    </tableColumn>
    <tableColumn id="54" xr3:uid="{AA2380E5-3483-49DB-91B7-F7447D6C17A7}" name="Tot Mas" dataDxfId="638" totalsRowDxfId="637">
      <calculatedColumnFormula array="1">IF(TblConstr[[#This Row],[Hour]:[Hour]]&gt;12,OFFSET(TblConstr[[#This Row],[Mas]],-12,0),0)+OFFSET(TblConstr[[#This Row],[Tot Mas]],-1,0)-TblConstr[[#This Row],[Dest Mas]]</calculatedColumnFormula>
    </tableColumn>
    <tableColumn id="55" xr3:uid="{9983477D-EC22-4053-88C9-D53436C89351}" name="Tot Ly" dataDxfId="636" totalsRowDxfId="635">
      <calculatedColumnFormula array="1">IF(TblConstr[[#This Row],[Hour]:[Hour]]&gt;12,OFFSET(TblConstr[[#This Row],[Ly]],-12,0),0)+OFFSET(TblConstr[[#This Row],[Tot Ly]],-1,0)-TblConstr[[#This Row],[Dest Ly]]</calculatedColumnFormula>
    </tableColumn>
    <tableColumn id="56" xr3:uid="{0A8A610F-D674-4772-9EB7-EC610164DF60}" name="Tot Hav" dataDxfId="634" totalsRowDxfId="633">
      <calculatedColumnFormula array="1">IF(TblConstr[[#This Row],[Hour]:[Hour]]&gt;12,OFFSET(TblConstr[[#This Row],[Hav]],-12,0),0)+OFFSET(TblConstr[[#This Row],[Tot Hav]],-1,0)-TblConstr[[#This Row],[Dest Hav]]</calculatedColumnFormula>
    </tableColumn>
    <tableColumn id="57" xr3:uid="{40570349-3AA5-42B4-9820-CC736C2D1B3D}" name="Tot OM" dataDxfId="632" totalsRowDxfId="631">
      <calculatedColumnFormula array="1">IF(TblConstr[[#This Row],[Hour]:[Hour]]&gt;12,OFFSET(TblConstr[[#This Row],[OM]],-12,0),0)+OFFSET(TblConstr[[#This Row],[Tot OM]],-1,0)-TblConstr[[#This Row],[Dest OM]]</calculatedColumnFormula>
    </tableColumn>
    <tableColumn id="58" xr3:uid="{D7C1895E-C93F-4CEE-BB20-88F13C3DA864}" name="Tot GN" dataDxfId="630" totalsRowDxfId="629">
      <calculatedColumnFormula array="1">IF(TblConstr[[#This Row],[Hour]:[Hour]]&gt;12,OFFSET(TblConstr[[#This Row],[GN]],-12,0),0)+OFFSET(TblConstr[[#This Row],[Tot GN]],-1,0)-TblConstr[[#This Row],[Dest GN]]</calculatedColumnFormula>
    </tableColumn>
    <tableColumn id="59" xr3:uid="{6C106580-CB33-4C2F-8B4D-856AC68AA85B}" name="Tot Fac" dataDxfId="628" totalsRowDxfId="627">
      <calculatedColumnFormula array="1">IF(TblConstr[[#This Row],[Hour]:[Hour]]&gt;12,OFFSET(TblConstr[[#This Row],[Fac]],-12,0),0)+OFFSET(TblConstr[[#This Row],[Tot Fac]],-1,0)-TblConstr[[#This Row],[Dest Fac]]</calculatedColumnFormula>
    </tableColumn>
    <tableColumn id="60" xr3:uid="{D3A39C76-EE6D-4C40-B64E-12EE496ACF75}" name="Tot GT" dataDxfId="626" totalsRowDxfId="625">
      <calculatedColumnFormula array="1">IF(TblConstr[[#This Row],[Hour]:[Hour]]&gt;12,OFFSET(TblConstr[[#This Row],[GT]],-12,0),0)+OFFSET(TblConstr[[#This Row],[Tot GT]],-1,0)-TblConstr[[#This Row],[Dest GT]]</calculatedColumnFormula>
    </tableColumn>
    <tableColumn id="61" xr3:uid="{3C88629E-DBB8-4626-8826-42DE21B8CCF3}" name="Tot Bar" dataDxfId="624" totalsRowDxfId="623">
      <calculatedColumnFormula array="1">IF(TblConstr[[#This Row],[Hour]:[Hour]]&gt;12,OFFSET(TblConstr[[#This Row],[Bar]],-12,0),0)+OFFSET(TblConstr[[#This Row],[Tot Bar]],-1,0)-TblConstr[[#This Row],[Dest Bar]]</calculatedColumnFormula>
    </tableColumn>
    <tableColumn id="62" xr3:uid="{9B339DEA-0599-4758-9D02-2BCE3EA7ACC3}" name="Tot Shr" dataDxfId="622" totalsRowDxfId="621">
      <calculatedColumnFormula array="1">IF(TblConstr[[#This Row],[Hour]:[Hour]]&gt;12,OFFSET(TblConstr[[#This Row],[Shr]],-12,0),0)+OFFSET(TblConstr[[#This Row],[Tot Shr]],-1,0)-TblConstr[[#This Row],[Dest Shr]]</calculatedColumnFormula>
    </tableColumn>
    <tableColumn id="63" xr3:uid="{BC8AAD30-881D-4FF0-9567-7FF1D9791913}" name="Tot Tow" dataDxfId="620" totalsRowDxfId="619">
      <calculatedColumnFormula array="1">IF(TblConstr[[#This Row],[Hour]:[Hour]]&gt;12,OFFSET(TblConstr[[#This Row],[Tow]],-12,0),0)+OFFSET(TblConstr[[#This Row],[Tot Tow]],-1,0)-TblConstr[[#This Row],[Dest Tow]]</calculatedColumnFormula>
    </tableColumn>
    <tableColumn id="64" xr3:uid="{59A3F80D-5052-4FDF-AF65-62DB182FD6A6}" name="Tot Tem" dataDxfId="618" totalsRowDxfId="617">
      <calculatedColumnFormula array="1">IF(TblConstr[[#This Row],[Hour]:[Hour]]&gt;12,OFFSET(TblConstr[[#This Row],[Tem]],-12,0),0)+OFFSET(TblConstr[[#This Row],[Tot Tem]],-1,0)-TblConstr[[#This Row],[Dest Tem]]</calculatedColumnFormula>
    </tableColumn>
    <tableColumn id="65" xr3:uid="{00A352BB-E75B-4E3F-AC3D-1D0DC0813148}" name="Tot WG" dataDxfId="616" totalsRowDxfId="615">
      <calculatedColumnFormula array="1">IF(TblConstr[[#This Row],[Hour]:[Hour]]&gt;12,OFFSET(TblConstr[[#This Row],[WG]],-12,0),0)+OFFSET(TblConstr[[#This Row],[Tot WG]],-1,0)-TblConstr[[#This Row],[Dest WG]]</calculatedColumnFormula>
    </tableColumn>
    <tableColumn id="66" xr3:uid="{AC79E3B7-8BF6-4AEF-AACC-9BCCADEEE9EC}" name="Tot DM" dataDxfId="614" totalsRowDxfId="613">
      <calculatedColumnFormula array="1">IF(TblConstr[[#This Row],[Hour]:[Hour]]&gt;12,OFFSET(TblConstr[[#This Row],[DM]],-12,0),0)+OFFSET(TblConstr[[#This Row],[Tot DM]],-1,0)-TblConstr[[#This Row],[Dest DM]]</calculatedColumnFormula>
    </tableColumn>
    <tableColumn id="67" xr3:uid="{0CFFF054-0F8D-4B14-9366-77ABD3382DE4}" name="Tot Sch" dataDxfId="612" totalsRowDxfId="611">
      <calculatedColumnFormula array="1">IF(TblConstr[[#This Row],[Hour]:[Hour]]&gt;12,OFFSET(TblConstr[[#This Row],[Sch]],-12,0),0)+OFFSET(TblConstr[[#This Row],[Tot Sch]],-1,0)-TblConstr[[#This Row],[Dest Sch]]</calculatedColumnFormula>
    </tableColumn>
    <tableColumn id="68" xr3:uid="{EEBD7864-CCF1-4E52-A4D7-93474D156483}" name="Tot Doc" dataDxfId="610" totalsRowDxfId="609">
      <calculatedColumnFormula array="1">IF(TblConstr[[#This Row],[Hour]:[Hour]]&gt;12,OFFSET(TblConstr[[#This Row],[Doc]],-12,0),0)+OFFSET(TblConstr[[#This Row],[Tot Doc]],-1,0)-TblConstr[[#This Row],[Dest Doc]]</calculatedColumnFormula>
    </tableColumn>
    <tableColumn id="69" xr3:uid="{9CB7D1EC-8231-4E29-AF89-78480EAACCBE}" name="…." dataDxfId="608" totalsRowDxfId="607"/>
    <tableColumn id="70" xr3:uid="{8AB60EC6-2503-4C64-93B5-EF0A15817646}" name="….." dataDxfId="606" totalsRowDxfId="605"/>
    <tableColumn id="71" xr3:uid="{E322C618-2AF7-4E39-8C00-05DB78D1E3E1}" name="Land (2)" dataDxfId="604" totalsRowDxfId="603">
      <calculatedColumnFormula>TblConstr[[#This Row],[Land]]</calculatedColumnFormula>
    </tableColumn>
    <tableColumn id="72" xr3:uid="{03634B5C-154E-4AC8-80E1-BA13BC9D96CD}" name="Time (2)" dataDxfId="602" totalsRowDxfId="601">
      <calculatedColumnFormula>TblImps[[#This Row],[Time]]</calculatedColumnFormula>
    </tableColumn>
    <tableColumn id="73" xr3:uid="{B2BF9056-6EBE-4C01-A8BD-B72B49E563E4}" name="…..." dataDxfId="600" totalsRowDxfId="599"/>
    <tableColumn id="74" xr3:uid="{E1DF0DF3-108E-4B1D-AD0D-B0438E0119B4}" name="Dest Hom" dataDxfId="598" totalsRowDxfId="597"/>
    <tableColumn id="75" xr3:uid="{E9A56C16-CD83-4CF4-801D-3F07F7F4410E}" name="Dest Alc" dataDxfId="596" totalsRowDxfId="595"/>
    <tableColumn id="76" xr3:uid="{83CFBDA2-FADE-4B08-B33E-9C2E9F9BF768}" name="Dest Farm" dataDxfId="594" totalsRowDxfId="593"/>
    <tableColumn id="77" xr3:uid="{19187257-0444-44F4-9D3D-6D0323F40019}" name="Dest Smi" dataDxfId="592" totalsRowDxfId="591"/>
    <tableColumn id="78" xr3:uid="{868AFE18-6FA1-48AB-ABF5-2F2AEFE5F988}" name="Dest Mas" dataDxfId="590" totalsRowDxfId="589"/>
    <tableColumn id="79" xr3:uid="{177B6B53-2F11-4209-8387-13A45749227F}" name="Dest Ly" dataDxfId="588" totalsRowDxfId="587"/>
    <tableColumn id="80" xr3:uid="{7546C506-76A9-4C40-A0E7-9A9D9E5AABE5}" name="Dest Hav" dataDxfId="586" totalsRowDxfId="585"/>
    <tableColumn id="81" xr3:uid="{ADDB86A6-E781-4DBE-8117-6F690916DDFA}" name="Dest OM" dataDxfId="584" totalsRowDxfId="583"/>
    <tableColumn id="82" xr3:uid="{B9BF98EC-18BF-465D-9531-8B38D89E91A0}" name="Dest GN" dataDxfId="582" totalsRowDxfId="581"/>
    <tableColumn id="83" xr3:uid="{E7A6D253-F3B2-42C8-99DD-B144C58FC0C5}" name="Dest Fac" dataDxfId="580" totalsRowDxfId="579"/>
    <tableColumn id="84" xr3:uid="{17104BBD-FC27-4D10-B29C-0273D3241FF4}" name="Dest GT" dataDxfId="578" totalsRowDxfId="577"/>
    <tableColumn id="85" xr3:uid="{99559D62-4D78-440A-98FE-DEBB129B435F}" name="Dest Bar" dataDxfId="576" totalsRowDxfId="575"/>
    <tableColumn id="86" xr3:uid="{9B2EEB8C-2FE8-47EE-A3E2-DC10DB45C7AB}" name="Dest Shr" dataDxfId="574" totalsRowDxfId="573"/>
    <tableColumn id="87" xr3:uid="{514D2AAA-E6E3-475E-9F65-8C732A78896D}" name="Dest Tow" dataDxfId="572" totalsRowDxfId="571"/>
    <tableColumn id="88" xr3:uid="{FAB7F148-62FD-4A01-9E52-E72AB5D98A80}" name="Dest Tem" dataDxfId="570" totalsRowDxfId="569"/>
    <tableColumn id="89" xr3:uid="{51F0AAF8-EA25-41BB-8274-29128D8E9309}" name="Dest WG" dataDxfId="568" totalsRowDxfId="567"/>
    <tableColumn id="90" xr3:uid="{B5DD0E4A-F9DA-46DF-AC1D-4C082F96D4FD}" name="Dest DM" dataDxfId="566" totalsRowDxfId="565"/>
    <tableColumn id="91" xr3:uid="{8374E536-FAFB-4695-B2E9-40E6A61A9D8E}" name="Dest Sch" dataDxfId="564" totalsRowDxfId="563"/>
    <tableColumn id="92" xr3:uid="{AB6E075B-E076-40E6-B2ED-7DBD5C2545B9}" name="Dest Doc" dataDxfId="562" totalsRowDxfId="561"/>
    <tableColumn id="93" xr3:uid="{A4B6EEF5-D4D4-4B9E-B020-F892CB1DC5F1}" name="…...." dataDxfId="560" totalsRowDxfId="559"/>
    <tableColumn id="94" xr3:uid="{A8785F66-A063-4182-BB5F-F2E489C44B8C}" name="Ch_Plain" dataDxfId="558" totalsRowDxfId="55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56" totalsRowDxfId="55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54" totalsRowDxfId="55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52" totalsRowDxfId="55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50" totalsRowDxfId="54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48" totalsRowDxfId="54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46" totalsRowDxfId="54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44" totalsRowDxfId="543">
      <calculatedColumnFormula>IF(Explore!S4=1,20) - TblConstr[[#This Row],[Hom]] + TblConstr[[#This Row],[Dest Hom]]</calculatedColumnFormula>
    </tableColumn>
    <tableColumn id="102" xr3:uid="{A18B5339-7B5E-4FF1-B44C-54D91E2619B1}" name="…....." dataDxfId="542" totalsRowDxfId="541"/>
    <tableColumn id="103" xr3:uid="{4E3EEDB6-D8CB-4DA1-AC9F-29019C9A6FFC}" name="Total Plain" dataDxfId="540" totalsRowDxfId="539"/>
    <tableColumn id="104" xr3:uid="{669C7BA0-B3F2-47DA-B10D-81C2466FF6F3}" name="Total Forest" dataDxfId="538" totalsRowDxfId="537"/>
    <tableColumn id="105" xr3:uid="{B6EE778A-6E52-44FF-8691-B86F1650C2C2}" name="Total Mountain" dataDxfId="536" totalsRowDxfId="535"/>
    <tableColumn id="106" xr3:uid="{5FF89BD6-7921-4110-AD96-EA8B54555F1C}" name="Total Hill" dataDxfId="534" totalsRowDxfId="533"/>
    <tableColumn id="107" xr3:uid="{F920559E-5C73-4899-BC53-A9BA9E7DFC0C}" name="Total Swamp" dataDxfId="532" totalsRowDxfId="531"/>
    <tableColumn id="108" xr3:uid="{6462BCCF-F375-4DEC-B000-637E1187AA5E}" name="Total Cavern" dataDxfId="530" totalsRowDxfId="529"/>
    <tableColumn id="109" xr3:uid="{D966B8E0-E2CD-4374-AF05-B86C330B3BD4}" name="Total Water" dataDxfId="528" totalsRowDxfId="527"/>
    <tableColumn id="110" xr3:uid="{170A4E12-F563-448F-8964-EB5CA71BA3AF}" name="Homeland" dataDxfId="526" totalsRowDxfId="52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24" totalsRowDxfId="523"/>
    <tableColumn id="114" xr3:uid="{EDC1B5E1-1E93-4946-BEC7-453EF5B18C9F}" name="Farms" dataDxfId="522" totalsRowDxfId="521">
      <calculatedColumnFormula>MAX(BA4-BA3,0)</calculatedColumnFormula>
    </tableColumn>
    <tableColumn id="115" xr3:uid="{1D02A65C-E8F6-4B66-A5EB-3699A9BE61C5}" name="Docks" totalsRowFunction="sum" dataDxfId="520" totalsRowDxfId="519">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18" dataDxfId="517" tableBorderDxfId="51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15">
      <calculatedColumnFormula>TblRezone[[#This Row],[Hour]]</calculatedColumnFormula>
    </tableColumn>
    <tableColumn id="2" xr3:uid="{DFB120B6-BC70-4091-A005-99D4961CB538}" name="Land" dataDxfId="514">
      <calculatedColumnFormula>TblConstr[[#This Row],[Land]]</calculatedColumnFormula>
    </tableColumn>
    <tableColumn id="3" xr3:uid="{05C32193-1764-4A8E-B877-789E51BD1927}" name="." dataDxfId="513"/>
    <tableColumn id="4" xr3:uid="{2DBA3229-29BD-4F1F-B6CD-9E822C9071D7}" name="Plains" dataDxfId="512">
      <calculatedColumnFormula>TblConstr[[#This Row],[Plain]]</calculatedColumnFormula>
    </tableColumn>
    <tableColumn id="5" xr3:uid="{3D1FE633-D61E-4157-92AE-5E68F0C48770}" name="Forest" dataDxfId="511">
      <calculatedColumnFormula>TblConstr[[#This Row],[Forest]]</calculatedColumnFormula>
    </tableColumn>
    <tableColumn id="6" xr3:uid="{D9ABEDC6-9211-428A-B587-3CA9C3BF9744}" name="Mountn" dataDxfId="510">
      <calculatedColumnFormula>TblConstr[[#This Row],[Mountain]]</calculatedColumnFormula>
    </tableColumn>
    <tableColumn id="7" xr3:uid="{190BAA64-9D9E-4080-878D-BF035387620E}" name="Hills" dataDxfId="509">
      <calculatedColumnFormula>TblConstr[[#This Row],[Hill]]</calculatedColumnFormula>
    </tableColumn>
    <tableColumn id="8" xr3:uid="{812744CE-DEB7-4A8A-8374-CD5852E8C168}" name="Swamp" dataDxfId="508">
      <calculatedColumnFormula>TblConstr[[#This Row],[Swamp]]</calculatedColumnFormula>
    </tableColumn>
    <tableColumn id="9" xr3:uid="{96D79F63-015A-4655-975B-A1C99185A034}" name="Caverns" dataDxfId="507">
      <calculatedColumnFormula>TblConstr[[#This Row],[Cavern]]</calculatedColumnFormula>
    </tableColumn>
    <tableColumn id="10" xr3:uid="{607DA3E5-8D4A-44F4-A35C-DDAF32BE627C}" name="Water" dataDxfId="506">
      <calculatedColumnFormula>TblConstr[[#This Row],[Water]]</calculatedColumnFormula>
    </tableColumn>
    <tableColumn id="11" xr3:uid="{12EC2AC2-5FD3-4D82-8C37-DB70DCC56DC2}" name="Column2" dataDxfId="505"/>
    <tableColumn id="12" xr3:uid="{B171FE82-C8DE-44A1-89CE-409ED8DDD9D4}" name="Column3" dataDxfId="504"/>
    <tableColumn id="13" xr3:uid="{8C0085EE-E99F-4C98-9D66-144A50E3623C}" name="Column4" dataDxfId="503"/>
    <tableColumn id="14" xr3:uid="{5686D8FB-FF86-4148-AF9E-C03A97A84AF3}" name="Smithies" dataDxfId="502" dataCellStyle="Percent">
      <calculatedColumnFormula>TblMili[[#This Row],[Smithies]]</calculatedColumnFormula>
    </tableColumn>
    <tableColumn id="15" xr3:uid="{A0DC0A41-1987-4EE6-99BA-624DB6ACB9BF}" name="Employm." dataDxfId="501" dataCellStyle="Percent">
      <calculatedColumnFormula>TblPop[[#This Row],[Employment]]</calculatedColumnFormula>
    </tableColumn>
    <tableColumn id="16" xr3:uid="{7B85DEA6-C72D-4EAB-B18F-155B3A80E27B}" name="Popul." dataDxfId="500" dataCellStyle="Percent">
      <calculatedColumnFormula>TblImps[[#This Row],[Population]]</calculatedColumnFormula>
    </tableColumn>
    <tableColumn id="17" xr3:uid="{0BE33934-A790-4489-A3A2-E553E3C4AAEE}" name="Land (2)" dataDxfId="499">
      <calculatedColumnFormula>TblExplore[[#This Row],[Land]]</calculatedColumnFormula>
    </tableColumn>
    <tableColumn id="18" xr3:uid="{1EE849E8-6296-4479-BDA2-30E4622212E0}" name="Hour (2)" dataDxfId="498">
      <calculatedColumnFormula>TblExplore[[#This Row],[Hour]]</calculatedColumnFormula>
    </tableColumn>
    <tableColumn id="19" xr3:uid="{802EC67C-58E0-4E2B-9471-52B76B3F516A}" name="Land Bonus" dataDxfId="497"/>
    <tableColumn id="20" xr3:uid="{B1DC4E54-695A-4FE1-A303-67B047732E38}" name="Plains Explore" dataDxfId="496"/>
    <tableColumn id="21" xr3:uid="{28A63039-E9F4-4C91-BC61-38AFA90CBBA3}" name="Forest Explore" dataDxfId="495"/>
    <tableColumn id="22" xr3:uid="{52A3F218-67B7-4353-9DCD-90E402F80D3A}" name="Mountain Explore" dataDxfId="494"/>
    <tableColumn id="23" xr3:uid="{CADD78BB-1A84-4EF1-B568-74D7A7333BED}" name="Hill Explore" dataDxfId="493"/>
    <tableColumn id="24" xr3:uid="{86B12DCD-5E50-4631-800C-3D06D0C8407F}" name="Swamp Explore" dataDxfId="492"/>
    <tableColumn id="25" xr3:uid="{41A3F8D1-C19F-4B01-A125-BD6C5BE75F1D}" name="Cavern Explore" dataDxfId="491"/>
    <tableColumn id="26" xr3:uid="{DD83E77E-8C71-44A7-BF29-B8595544CC0D}" name="Water Explore" dataDxfId="490"/>
    <tableColumn id="27" xr3:uid="{6F68BDB2-663F-44CE-A108-1184CFBBBFB9}" name="Time" dataDxfId="489">
      <calculatedColumnFormula>TblImps[[#This Row],[Real time]]</calculatedColumnFormula>
    </tableColumn>
    <tableColumn id="28" xr3:uid="{0FBA88C1-4190-4A95-897B-20B88A072234}" name="Draftees" dataDxfId="488">
      <calculatedColumnFormula>TblMili[[#This Row],[Draftees]]</calculatedColumnFormula>
    </tableColumn>
    <tableColumn id="29" xr3:uid="{4EFD1992-02FD-4356-A327-EBEED01908DD}" name="Platinum" dataDxfId="487">
      <calculatedColumnFormula>TblProd[[#This Row],[Platinum]]</calculatedColumnFormula>
    </tableColumn>
    <tableColumn id="30" xr3:uid="{3D9A7B33-B273-4A01-8F7D-822B1BEB344B}" name=".." dataDxfId="486"/>
    <tableColumn id="31" xr3:uid="{EDB0F070-B31D-4B00-90A6-0A190E3CA80B}" name="Land-DB" dataDxfId="485">
      <calculatedColumnFormula>TblExplore[[#This Row],[Land]]-TblExplore[[#This Row],[Land Bonus]]*20</calculatedColumnFormula>
    </tableColumn>
    <tableColumn id="32" xr3:uid="{B94D1074-50E9-44F1-8957-6BE450DE4BF0}" name="Plat/acre" dataDxfId="484">
      <calculatedColumnFormula>ROUND(MAX(0.6*TblExplore[[#This Row],[Land-DB]]^1.299,850)*(1+ tech_2_6*Techs!AC4 + tech_2_9*Techs!AF4 + tech_3_7*Techs!AN4 + Overview!$I$32),0)</calculatedColumnFormula>
    </tableColumn>
    <tableColumn id="33" xr3:uid="{F0CBDA56-E75F-4156-B9BD-681857934D22}" name="Draftees/acre" dataDxfId="48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82">
      <calculatedColumnFormula>SUM(TblExplore[[#This Row],[Plains Explore]:[Water Explore]])*TblExplore[[#This Row],[Plat/acre]]</calculatedColumnFormula>
    </tableColumn>
    <tableColumn id="35" xr3:uid="{61575F8F-5343-43C9-858D-AF8501368779}" name="Draftees (2)" dataDxfId="481">
      <calculatedColumnFormula>SUM(TblExplore[[#This Row],[Plains Explore]:[Water Explore]])*TblExplore[[#This Row],[Draftees/acre]]</calculatedColumnFormula>
    </tableColumn>
    <tableColumn id="36" xr3:uid="{BD4C2C0C-7F81-4BE8-9828-9CFCFFAFF394}" name="Max Explore" dataDxfId="48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79" dataDxfId="478" tableBorderDxfId="477">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76">
      <calculatedColumnFormula>TblConstr[[#This Row],[Land]]</calculatedColumnFormula>
    </tableColumn>
    <tableColumn id="2" xr3:uid="{09D3C0EB-2481-406C-ABC2-3B9FE0683D68}" name="Plains" dataDxfId="475">
      <calculatedColumnFormula>TblConstr[[#This Row],[Plain]]</calculatedColumnFormula>
    </tableColumn>
    <tableColumn id="3" xr3:uid="{E95763D4-88E5-487A-9912-CB5FED512375}" name="Forest" dataDxfId="474">
      <calculatedColumnFormula>TblConstr[[#This Row],[Forest]]</calculatedColumnFormula>
    </tableColumn>
    <tableColumn id="4" xr3:uid="{62B2173B-885E-48E7-B615-089739267B8E}" name="Mountains" dataDxfId="473">
      <calculatedColumnFormula>TblConstr[[#This Row],[Mountain]]</calculatedColumnFormula>
    </tableColumn>
    <tableColumn id="5" xr3:uid="{4FA61465-41A2-4497-AB2D-7B63B7113E12}" name="Hills" dataDxfId="472">
      <calculatedColumnFormula>TblConstr[[#This Row],[Hill]]</calculatedColumnFormula>
    </tableColumn>
    <tableColumn id="6" xr3:uid="{FC27A0D5-6BB5-414B-8DEB-98AD07E7EBFF}" name="Swamp" dataDxfId="471">
      <calculatedColumnFormula>TblConstr[[#This Row],[Swamp]]</calculatedColumnFormula>
    </tableColumn>
    <tableColumn id="7" xr3:uid="{E95EDCE9-4D0A-4F4F-80D0-F52A495BDAE2}" name="Caverns" dataDxfId="470">
      <calculatedColumnFormula>TblConstr[[#This Row],[Cavern]]</calculatedColumnFormula>
    </tableColumn>
    <tableColumn id="8" xr3:uid="{4D162EFF-D831-41C8-9A17-B9113296E43B}" name="Water" dataDxfId="469">
      <calculatedColumnFormula>TblConstr[[#This Row],[Water]]</calculatedColumnFormula>
    </tableColumn>
    <tableColumn id="9" xr3:uid="{D55A4201-089D-415F-8D4D-3ECCCB36C63A}" name="." dataDxfId="468"/>
    <tableColumn id="10" xr3:uid="{DD5BAECA-959B-44B4-BFE4-04100EF42CEE}" name="Hour" dataDxfId="467">
      <calculatedColumnFormula>J3+1</calculatedColumnFormula>
    </tableColumn>
    <tableColumn id="11" xr3:uid="{BBC04AC2-481C-43B9-8F7E-DA11BD9865DF}" name="Time" dataDxfId="466">
      <calculatedColumnFormula>TblImps[[#This Row],[Real time]]</calculatedColumnFormula>
    </tableColumn>
    <tableColumn id="12" xr3:uid="{D6C776EF-706C-4E21-B5A7-00C9AD08F8F2}" name="Plains Rezone" dataDxfId="465"/>
    <tableColumn id="13" xr3:uid="{8517A176-425D-4D28-9953-4EC1AA93C82D}" name="Forest Rezone" dataDxfId="464"/>
    <tableColumn id="14" xr3:uid="{6C6986FB-4B34-4620-9F5C-E204CA007C29}" name="Mountain Rezone" dataDxfId="463"/>
    <tableColumn id="15" xr3:uid="{A238C8DA-37C8-4B93-BDB9-803627A51455}" name="Hill Rezone" dataDxfId="462"/>
    <tableColumn id="16" xr3:uid="{6F93D167-46BB-49F9-99E2-4FE4FA89F6F6}" name="Swamp Rezone" dataDxfId="461"/>
    <tableColumn id="17" xr3:uid="{2891557D-037E-43FE-B080-6B5406778FAE}" name="Cavern Rezone" dataDxfId="460"/>
    <tableColumn id="18" xr3:uid="{C6630C4B-97F3-4512-833F-587ADB90804D}" name="Water Rezone" dataDxfId="459"/>
    <tableColumn id="19" xr3:uid="{71938840-BA0F-4F0E-90C2-866B3EEED32E}" name="Total acres" dataDxfId="458">
      <calculatedColumnFormula>SUMIF(TblRezone[[#This Row],[Plains Rezone]:[Water Rezone]],"&gt;0")</calculatedColumnFormula>
    </tableColumn>
    <tableColumn id="20" xr3:uid="{A48C796B-764B-4744-95D2-0DB5292F5562}" name="Ok?" dataDxfId="457">
      <calculatedColumnFormula>IF(SUM(TblRezone[[#This Row],[Plains Rezone]:[Water Rezone]])=0,"Ok","Nope")</calculatedColumnFormula>
    </tableColumn>
    <tableColumn id="21" xr3:uid="{2EBFAAC1-440A-44F3-A930-C229C35B9BD3}" name=".." dataDxfId="456"/>
    <tableColumn id="22" xr3:uid="{2020F260-8DB5-44E6-A131-B44D79AF6B62}" name="Platinum" dataDxfId="455">
      <calculatedColumnFormula>TblProd[[#This Row],[Platinum]]</calculatedColumnFormula>
    </tableColumn>
    <tableColumn id="23" xr3:uid="{81A5A213-A750-4DD5-8456-6B104D493CA4}" name="…" dataDxfId="454"/>
    <tableColumn id="24" xr3:uid="{8EF28125-DA30-4482-ADE4-2B916A90CAD2}" name="Plat/acre" dataDxfId="453">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52">
      <calculatedColumnFormula>TblRezone[[#This Row],[Total acres]]*TblRezone[[#This Row],[Plat/acre]]</calculatedColumnFormula>
    </tableColumn>
    <tableColumn id="26" xr3:uid="{685D7DEA-DD3C-4385-BEC6-C5DBEEE6B44D}" name="…." dataDxfId="451"/>
    <tableColumn id="27" xr3:uid="{44BE000A-0846-46D4-B9B4-8728EC5881AB}" name="Plat/acre*" dataDxfId="450">
      <calculatedColumnFormula>250+0.6*(TblRezone[[#This Row],[Land]]-250)</calculatedColumnFormula>
    </tableColumn>
    <tableColumn id="28" xr3:uid="{3AFBA97F-9340-4669-BF68-67D7B351BBD4}" name="….." dataDxfId="449"/>
    <tableColumn id="29" xr3:uid="{D8C9DC04-80EE-49BF-BEDB-6FEC536A5F93}" name="Facs" dataDxfId="448">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447" dataDxfId="445" headerRowBorderDxfId="446" tableBorderDxfId="444">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443">
      <calculatedColumnFormula>TblRezone[[#This Row],[Hour]]</calculatedColumnFormula>
    </tableColumn>
    <tableColumn id="2" xr3:uid="{EAC413AF-EC0E-4C34-B6C3-F5AE2181B0A0}" name="Military" dataDxfId="442">
      <calculatedColumnFormula>SUM(TblMili[[#This Row],[Unit 1]:[Archmages]])+SUM(TblMili[[#This Row],[Train Unit 1]:[Train Unit 4]])+TblMili[[#This Row],[Draftees]]</calculatedColumnFormula>
    </tableColumn>
    <tableColumn id="3" xr3:uid="{B9847F02-8883-462E-B245-62A25138A973}" name="Military%" dataDxfId="441">
      <calculatedColumnFormula>TblPop[[#This Row],[Military%]]</calculatedColumnFormula>
    </tableColumn>
    <tableColumn id="4" xr3:uid="{873B66D3-9A4C-4CF2-ADD1-BF3696F9A721}" name="." dataDxfId="440"/>
    <tableColumn id="5" xr3:uid="{FC5A3C7C-0387-4B98-9BB7-AC3A387EAFF0}" name="Unit 1" dataDxfId="439">
      <calculatedColumnFormula>OFFSET(TblMili[[#This Row],[Unit 1]],-1,0) - TblMili[[#This Row],[Release Unit 1]]</calculatedColumnFormula>
    </tableColumn>
    <tableColumn id="6" xr3:uid="{A8BE2C9D-1318-46BD-B50B-D87014E90395}" name="Unit 2" dataDxfId="438">
      <calculatedColumnFormula>OFFSET(TblMili[[#This Row],[Unit 2]],-1,0)-TblMili[[#This Row],[Release Unit 2]]</calculatedColumnFormula>
    </tableColumn>
    <tableColumn id="7" xr3:uid="{49487FD4-4EF4-4722-A4A4-FCC0DD98F9F2}" name="Unit 3" dataDxfId="437">
      <calculatedColumnFormula>OFFSET(TblMili[[#This Row],[Unit 3]],-1,0)-TblMili[[#This Row],[Release Unit 3]]</calculatedColumnFormula>
    </tableColumn>
    <tableColumn id="8" xr3:uid="{739E7790-2960-445C-A5B2-C6064A881CDF}" name="Unit 4" dataDxfId="436">
      <calculatedColumnFormula>OFFSET(TblMili[[#This Row],[Unit 4]],-1,0)-TblMili[[#This Row],[Release Unit 4]]</calculatedColumnFormula>
    </tableColumn>
    <tableColumn id="9" xr3:uid="{0DB25EC0-D296-415A-BF65-DA60D7174CD2}" name="Spies" dataDxfId="435">
      <calculatedColumnFormula>OFFSET(TblMili[[#This Row],[Spies]],-1,0)-TblMili[[#This Row],[Release Spies]]</calculatedColumnFormula>
    </tableColumn>
    <tableColumn id="109" xr3:uid="{1E772BA5-219C-4FDC-ABC4-BDFC09C3EC97}" name="Archspies" dataDxfId="89"/>
    <tableColumn id="10" xr3:uid="{1B32AEAE-0DB3-4DD4-8543-1BD37596FD6C}" name="Wizards" dataDxfId="434">
      <calculatedColumnFormula>OFFSET(TblMili[[#This Row],[Wizards]],-1,0)-TblMili[[#This Row],[Release Wizards]]-TblMili[[#This Row],[Train AM]]</calculatedColumnFormula>
    </tableColumn>
    <tableColumn id="11" xr3:uid="{ED512AF5-16B2-421C-BF95-07157DB57B9D}" name="Archmages" dataDxfId="433">
      <calculatedColumnFormula>OFFSET(TblMili[[#This Row],[Archmages]],-1,0)-TblMili[[#This Row],[Release AM]]</calculatedColumnFormula>
    </tableColumn>
    <tableColumn id="12" xr3:uid="{CADE9B79-5861-46C5-8C69-B19C0F0551CF}" name=".." dataDxfId="432"/>
    <tableColumn id="13" xr3:uid="{18901E43-A967-4D1C-A56F-B4449A6C28E5}" name="Networth" dataDxfId="431">
      <calculatedColumnFormula>TblProd[[#This Row],[Networth]]</calculatedColumnFormula>
    </tableColumn>
    <tableColumn id="14" xr3:uid="{2F50B0FF-1C90-493E-BE67-86AFE22B6059}" name="…" dataDxfId="430"/>
    <tableColumn id="15" xr3:uid="{800A8F5F-B777-4995-AD6F-4DF929E0A477}" name="Raw" dataDxfId="42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42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27">
      <calculatedColumnFormula>TblMili[[#This Row],[Raw]]*(1+TblMili[[#This Row],[Mods_Off]])</calculatedColumnFormula>
    </tableColumn>
    <tableColumn id="18" xr3:uid="{49AD1BCC-C9BC-46CD-8B38-93838D61E9DD}" name="Non Draft" dataDxfId="42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25">
      <calculatedColumnFormula>TblMili[[#This Row],[Non Draft]]+TblMili[[#This Row],[Draftees]]</calculatedColumnFormula>
    </tableColumn>
    <tableColumn id="20" xr3:uid="{C64B2C83-F9B3-427D-8326-C6954139623D}" name="Mods_Def" dataDxfId="9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424" dataCellStyle="Comma">
      <calculatedColumnFormula>TblMili[[#This Row],[Non Draft]] * (1 + TblMili[[#This Row],[Mods_Def]])</calculatedColumnFormula>
    </tableColumn>
    <tableColumn id="22" xr3:uid="{EA8914C0-CD98-4E5C-A923-EA0F9E30F1EA}" name="Draft (mod)" dataDxfId="423">
      <calculatedColumnFormula>TblMili[[#This Row],[Draft]] * (1 + TblMili[[#This Row],[Mods_Def]])</calculatedColumnFormula>
    </tableColumn>
    <tableColumn id="23" xr3:uid="{EAC9356D-CE42-4256-BB93-BF208B480555}" name="Land" dataDxfId="422">
      <calculatedColumnFormula>TblConstr[[#This Row],[Land]]</calculatedColumnFormula>
    </tableColumn>
    <tableColumn id="24" xr3:uid="{D4A87242-2EDC-47D9-8CA4-84D822469E1B}" name="Set" dataDxfId="421"/>
    <tableColumn id="25" xr3:uid="{448088C9-E1C1-47E6-9443-BE83ECC5C2F2}" name="Draftrate" dataDxfId="420" dataCellStyle="Percent">
      <calculatedColumnFormula>IF(TblMili[[#This Row],[Set]]&lt;&gt;"",TblMili[[#This Row],[Set]],OFFSET(TblMili[[#This Row],[Draftrate]],-1,0))</calculatedColumnFormula>
    </tableColumn>
    <tableColumn id="26" xr3:uid="{EE8F6844-A68F-416E-B5A0-7B6FA4C5DE98}" name="Draftees" dataDxfId="90">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419"/>
    <tableColumn id="28" xr3:uid="{0B20A7CE-7BB6-4469-889B-DF744233C462}" name="Smithies" dataDxfId="418" dataCellStyle="Percent">
      <calculatedColumnFormula>(TblConstr[[#This Row],[Tot Smi]]+TblConstr[[#This Row],[Dest Smi]])/(TblConstr[[#This Row],[Land]]-TblExplore[[#This Row],[Land Bonus]]*20)</calculatedColumnFormula>
    </tableColumn>
    <tableColumn id="29" xr3:uid="{A03A8504-EBEF-4639-9EE4-238592848C94}" name="….." dataDxfId="417"/>
    <tableColumn id="30" xr3:uid="{4B521A36-EE77-42BE-850C-0D858F3717A6}" name="Hour (2)" dataDxfId="416">
      <calculatedColumnFormula>TblMili[[#This Row],[Hour]]</calculatedColumnFormula>
    </tableColumn>
    <tableColumn id="31" xr3:uid="{D44FE507-2C86-49D9-BC07-83C7B27BB255}" name="Time" dataDxfId="415">
      <calculatedColumnFormula>TblExplore[[#This Row],[Time]]</calculatedColumnFormula>
    </tableColumn>
    <tableColumn id="32" xr3:uid="{0DAD6AB9-2259-4821-8771-37863F1ED4CC}" name="Train Unit 1" dataDxfId="414"/>
    <tableColumn id="33" xr3:uid="{0E43B866-578B-4060-84D1-01656CB368A4}" name="Train Unit 2" dataDxfId="413"/>
    <tableColumn id="34" xr3:uid="{3AAC979B-4FF3-4EFF-8F6E-BD28BBE2B8BD}" name="Train Unit 3" dataDxfId="412"/>
    <tableColumn id="35" xr3:uid="{EC6B8083-BC72-4376-9760-2275CF62C1A6}" name="Train Unit 4" dataDxfId="411"/>
    <tableColumn id="36" xr3:uid="{DE15CA92-2C69-4205-88B3-DE37F5AAF9A6}" name="Train Spies" dataDxfId="410"/>
    <tableColumn id="107" xr3:uid="{917516D6-B00F-4F57-ADB0-6C22D2A96B9F}" name="Train AS" dataDxfId="92"/>
    <tableColumn id="37" xr3:uid="{97770C71-624D-4E73-A8AD-D79927F45908}" name="Train Wiz" dataDxfId="409"/>
    <tableColumn id="38" xr3:uid="{4E456233-AA67-4D90-9179-339EBD335F62}" name="Train AM" dataDxfId="408"/>
    <tableColumn id="39" xr3:uid="{29C90460-5421-4EA7-A4CB-BDA1C40BF8A1}" name="…..." dataDxfId="407"/>
    <tableColumn id="40" xr3:uid="{2C04ED42-9AAF-4375-A8D4-18DA4B397FAA}" name="Platinum" dataDxfId="406">
      <calculatedColumnFormula>TblProd[[#This Row],[Platinum]]</calculatedColumnFormula>
    </tableColumn>
    <tableColumn id="41" xr3:uid="{122C6EDE-4C24-4A3C-9FA2-6A7942348604}" name="Secondary recource" dataDxfId="405">
      <calculatedColumnFormula>INDEX(TblProd[[#Headers],[Lumber]]:TblProd[[#This Row],[Ore]],COUNTA(TblProd[[#Headers],[Lumber]]:TblProd[[#This Row],[Lumber]]),MATCH(Military!$AQ$2,TblProd[[#Headers],[Lumber]:[Ore]],0))</calculatedColumnFormula>
    </tableColumn>
    <tableColumn id="42" xr3:uid="{AD4D72D1-3860-48CA-B3DA-ADFB8307154A}" name="Plat Cost" dataDxfId="40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40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402">
      <calculatedColumnFormula>TblMili[[#This Row],[Hour]]</calculatedColumnFormula>
    </tableColumn>
    <tableColumn id="45" xr3:uid="{20B1F70F-03BF-43F5-9126-6B2FF45FE149}" name="Time " dataDxfId="401">
      <calculatedColumnFormula>TblMili[[#This Row],[Time]]</calculatedColumnFormula>
    </tableColumn>
    <tableColumn id="46" xr3:uid="{32831987-A30D-4329-BB1C-DB47E6B77B54}" name="Draftees22" dataDxfId="400">
      <calculatedColumnFormula>TblMili[[#This Row],[Draftees]]</calculatedColumnFormula>
    </tableColumn>
    <tableColumn id="47" xr3:uid="{7EBE7BE4-37D1-4B52-B049-F9BE4ABBBADC}" name="Release Draft" dataDxfId="399"/>
    <tableColumn id="48" xr3:uid="{C3BB0EE7-6180-4099-B663-EFA3F1503DB3}" name="Release Unit 1" dataDxfId="398"/>
    <tableColumn id="49" xr3:uid="{EDF7E463-807D-4CE2-B63E-18766260768C}" name="Release Unit 2" dataDxfId="397"/>
    <tableColumn id="50" xr3:uid="{A1BE9DD8-455A-4FAA-8154-5BB2D1A53261}" name="Release Unit 3" dataDxfId="396"/>
    <tableColumn id="51" xr3:uid="{4FE1D56E-EA47-4DF6-B5A4-E78C1D5F5774}" name="Release Unit 4" dataDxfId="395"/>
    <tableColumn id="52" xr3:uid="{F0F9CB78-BA40-4031-AC17-0AB88B159B60}" name="Release Spies" dataDxfId="394"/>
    <tableColumn id="108" xr3:uid="{118BE0C9-E863-4E5F-98D5-187B99319B85}" name="Release AS" dataDxfId="91"/>
    <tableColumn id="53" xr3:uid="{3CC7AC8A-814F-42C4-B491-A6DFD7A4A93E}" name="Release Wizards" dataDxfId="393"/>
    <tableColumn id="54" xr3:uid="{BCB616C3-3465-4473-B27B-B25584160E71}" name="Release AM" dataDxfId="392"/>
    <tableColumn id="55" xr3:uid="{6B6EC03F-2A6A-47EB-A7F1-0DFE335A330A}" name="Column31" dataDxfId="391"/>
    <tableColumn id="56" xr3:uid="{71F6F49D-CD22-4E5F-BBB5-61150307312C}" name="WG's" dataDxfId="390">
      <calculatedColumnFormula>TblConstr[[#This Row],[Tot WG]]/TblConstr[[#This Row],[Land]]</calculatedColumnFormula>
    </tableColumn>
    <tableColumn id="57" xr3:uid="{B8AC3F70-AED4-4E5E-9FFD-FF94CB39B791}" name="FH's" dataDxfId="389">
      <calculatedColumnFormula>TblConstr[[#This Row],[Tot Hav]]/TblConstr[[#This Row],[Land]]</calculatedColumnFormula>
    </tableColumn>
    <tableColumn id="58" xr3:uid="{140FE3B0-18E6-43AA-A625-E817354E2D53}" name="OP Plat" dataDxfId="38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87">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8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85">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8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83">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8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81">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80">
      <calculatedColumnFormula>ROUNDUP((1-MIN(ROUND(fh_spy_cost_red*TblMili[[#This Row],[FH''s]],4),fh_spy_cost_cap)+ tech_1_9*TblTech[[#This Row],[1-9]] + tech_9_1*TblTech[[#This Row],[9-1]])*spy_plat,0)</calculatedColumnFormula>
    </tableColumn>
    <tableColumn id="110" xr3:uid="{E3910BF3-0412-473B-852A-F6A0FE497DE5}" name="ASs Cost" dataDxfId="80">
      <calculatedColumnFormula>ROUNDUP((1-MIN(ROUND(fh_spy_cost_red*TblMili[[#This Row],[FH''s]],4),fh_spy_cost_cap)+ tech_1_9*TblTech[[#This Row],[1-9]] + tech_9_1*TblTech[[#This Row],[9-1]])*archspy_plat,0)</calculatedColumnFormula>
    </tableColumn>
    <tableColumn id="67" xr3:uid="{CDB40042-773A-4CE1-B670-B62BC884A947}" name="Wizzies cost" dataDxfId="379">
      <calculatedColumnFormula>ROUNDUP((1-MIN(ROUND(wg_wiz_cost_bonus*TblMili[[#This Row],[WG''s]],4),wg_wiz_cost_cap) + tech_1_9_2*TblTech[[#This Row],[1-9]] + tech_9_1_2*TblTech[[#This Row],[9-1]])*wizard_plat,0)</calculatedColumnFormula>
    </tableColumn>
    <tableColumn id="68" xr3:uid="{1053234A-AE18-4A82-94FC-D94692087DE3}" name="AMs cost" dataDxfId="378">
      <calculatedColumnFormula>ROUNDUP((1-MIN(ROUND(wg_wiz_cost_bonus*TblMili[[#This Row],[WG''s]],4),wg_wiz_cost_cap) + tech_1_9_2*TblTech[[#This Row],[1-9]] + tech_9_1_2*TblTech[[#This Row],[9-1]])*archmage_plat,0)</calculatedColumnFormula>
    </tableColumn>
    <tableColumn id="69" xr3:uid="{9D11DA92-CF6B-4838-B51B-494833977486}" name="…2" dataDxfId="377"/>
    <tableColumn id="70" xr3:uid="{1F713D65-CE26-4E75-AF9C-1E2610D02FB6}" name="Hill" dataDxfId="376">
      <calculatedColumnFormula>TblConstr[[#This Row],[Homeland]]/TblConstr[[#This Row],[Land]]</calculatedColumnFormula>
    </tableColumn>
    <tableColumn id="71" xr3:uid="{FBD620E0-8F97-4BED-916D-A8962B459E13}" name="WG" dataDxfId="375">
      <calculatedColumnFormula>TblMili[[#This Row],[WG''s]]</calculatedColumnFormula>
    </tableColumn>
    <tableColumn id="72" xr3:uid="{0F482B90-6164-42A0-AC1A-EB6CBE2239E0}" name="Mystic" dataDxfId="374">
      <calculatedColumnFormula>IF(mystic_cap="none",TblMili[[#This Row],[Hill]]/mystic_bonus,MIN(mystic_cap,TblMili[[#This Row],[Hill]]/mystic_bonus))</calculatedColumnFormula>
    </tableColumn>
    <tableColumn id="73" xr3:uid="{2FD25056-5068-463F-8553-3D2CFBDBD80D}" name="Druid (op)" dataDxfId="373">
      <calculatedColumnFormula>IF(druid_op_cap="none",TblMili[[#This Row],[Hill]]/druid_op_bonus,MIN(druid_op_cap,TblMili[[#This Row],[Hill]]/druid_op_bonus))</calculatedColumnFormula>
    </tableColumn>
    <tableColumn id="74" xr3:uid="{53018DF3-E735-41C7-A3D0-8E634866C57E}" name="Druid (dp)" dataDxfId="372">
      <calculatedColumnFormula>IF(druid_dp_cap="none",TblMili[[#This Row],[Hill]]/druid_dp_bonus,MIN(druid_dp_cap,TblMili[[#This Row],[Hill]]/druid_dp_bonus))</calculatedColumnFormula>
    </tableColumn>
    <tableColumn id="75" xr3:uid="{7F4EE74D-9905-4DF0-A5F6-DDC9D0115356}" name="Dryad" dataDxfId="371">
      <calculatedColumnFormula>MIN(dryad_cap,TblMili[[#This Row],[Hill]]/dryad_bonus)</calculatedColumnFormula>
    </tableColumn>
    <tableColumn id="76" xr3:uid="{E7F9826C-05CD-49D4-95DF-ECCD467D1341}" name="Rockapult" dataDxfId="370">
      <calculatedColumnFormula>MIN(rocka_cap,TblMili[[#This Row],[Hill]]/rocka_bonus)</calculatedColumnFormula>
    </tableColumn>
    <tableColumn id="77" xr3:uid="{A26FFF73-DC56-4E66-8A0E-51A9C837AE8D}" name="Spellblade" dataDxfId="369">
      <calculatedColumnFormula>MIN(adept_op_cap,TblMili[[#This Row],[WG]]/adept_op_bonus)</calculatedColumnFormula>
    </tableColumn>
    <tableColumn id="78" xr3:uid="{A5F9372F-5EBA-4E5A-AB3F-5A786DE5FEB0}" name="Adept-DP" dataDxfId="368">
      <calculatedColumnFormula>MIN(adept_dp_cap,TblMili[[#This Row],[WG]]/adept_dp_bonus)</calculatedColumnFormula>
    </tableColumn>
    <tableColumn id="79" xr3:uid="{FF50DABE-A375-4222-848D-9C4D1D0FC999}" name="Beasts" dataDxfId="367">
      <calculatedColumnFormula>MIN(TblMili[[#This Row],[Unit 3]],TblMili[[#This Row],[Unit 4]])*2</calculatedColumnFormula>
    </tableColumn>
    <tableColumn id="80" xr3:uid="{FFCDA044-2FD9-4119-B82B-7914D887B7F4}" name="Overlords" dataDxfId="366">
      <calculatedColumnFormula>MIN(TblMili[[#This Row],[Unit 1]],TblMili[[#This Row],[Unit 4]])*2</calculatedColumnFormula>
    </tableColumn>
    <tableColumn id="81" xr3:uid="{00DE2C4D-2323-42A0-B749-2FB5F4E28DBF}" name="Frost Mage" dataDxfId="365">
      <calculatedColumnFormula>MIN(frost_mage_cap,TblMili[[#This Row],[Hill]]/frost_mage_bonus)</calculatedColumnFormula>
    </tableColumn>
    <tableColumn id="82" xr3:uid="{BB055F70-3593-48E8-A32F-2C3BC4E6D218}" name="Ice Elemental" dataDxfId="364">
      <calculatedColumnFormula>MIN(ice_elem_cap,TblMili[[#This Row],[Raw (2)]]*ice_elem_bonus)</calculatedColumnFormula>
    </tableColumn>
    <tableColumn id="83" xr3:uid="{1158BE59-7C9D-4D41-AE99-4249CB18E29F}" name="Orc" dataDxfId="363">
      <calculatedColumnFormula>MIN(bone_breaker_cap,250/bone_breaker_bonus)</calculatedColumnFormula>
    </tableColumn>
    <tableColumn id="84" xr3:uid="{76252BAC-90E5-49A7-B5F9-E399F71EA45D}" name="Nox" dataDxfId="362">
      <calculatedColumnFormula>MIN(nox_nightshade_cap,TblConstr[[#This Row],[Homeland]]/TblConstr[[#This Row],[Land]]/nox_nightshade_swamp_bonus)</calculatedColumnFormula>
    </tableColumn>
    <tableColumn id="85" xr3:uid="{1DFCAA2E-8651-447E-895D-82655A45DF53}" name="Column36" dataDxfId="361"/>
    <tableColumn id="86" xr3:uid="{2B117F31-500F-4EF5-A943-EA4E7192FD0F}" name="Column37" dataDxfId="360"/>
    <tableColumn id="87" xr3:uid="{F3D20B86-D78F-4794-87F9-C555822D3041}" name="Column38" dataDxfId="359"/>
    <tableColumn id="88" xr3:uid="{BDEF093C-2660-4215-8999-F98F4344DFB8}" name="Mystic bonus" dataDxfId="358">
      <calculatedColumnFormula>MIN(6,TblMili[[#This Row],[Mystic]]+Races!$F$19)*1.8 +  IF(TblMili[[#This Row],[Mystic]]+Races!$F$19&gt;6,(TblMili[[#This Row],[Mystic]]+Races!$F$19-6)*0.2,0) - Races!$I$19</calculatedColumnFormula>
    </tableColumn>
    <tableColumn id="89" xr3:uid="{46F4DC63-3122-4751-919D-25DE59A7EF66}" name="Druid bonus" dataDxfId="35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56">
      <calculatedColumnFormula>TblMili[[#This Row],[Mystic bonus]]*TblMili[[#This Row],[Unit 3]]+TblMili[[#This Row],[Druid bonus]]*TblMili[[#This Row],[Unit 4]]</calculatedColumnFormula>
    </tableColumn>
    <tableColumn id="91" xr3:uid="{4EE98187-D861-41F7-99BA-17048C4D8D34}" name="Dryad bonus" dataDxfId="355">
      <calculatedColumnFormula>MIN(6,TblMili[[#This Row],[Dryad]]+Races!$F$35)*1.8 +  IF(TblMili[[#This Row],[Dryad]]+Races!$F$35&gt;6,(TblMili[[#This Row],[Dryad]]+Races!$F$35-6)*0.2,0) - Races!$I$19</calculatedColumnFormula>
    </tableColumn>
    <tableColumn id="92" xr3:uid="{4D0FBA77-63EB-4AF7-AA3C-BF4D432786D2}" name="Sylvan bonus" dataDxfId="354">
      <calculatedColumnFormula>sylvan*(TblMili[[#This Row],[Mystic bonus]]*TblMili[[#This Row],[Unit 3]])</calculatedColumnFormula>
    </tableColumn>
    <tableColumn id="93" xr3:uid="{9CB7A2CE-8BEC-402B-B1F0-5A1153673E45}" name="Rockapult bonus" dataDxfId="35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52">
      <calculatedColumnFormula>gnome*(TblMili[[#This Row],[Rockapult bonus]]*TblMili[[#This Row],[Unit 3]])</calculatedColumnFormula>
    </tableColumn>
    <tableColumn id="95" xr3:uid="{A02C2188-BFCD-4178-8B64-B969D4D2D97B}" name="Adept bonus" dataDxfId="35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50">
      <calculatedColumnFormula>dark_elf*(TblMili[[#This Row],[Adept bonus]]*TblMili[[#This Row],[Unit 3]])</calculatedColumnFormula>
    </tableColumn>
    <tableColumn id="97" xr3:uid="{19730E51-BC55-444F-8E03-4B3A51C0E3D8}" name="Frost Mage bonus" dataDxfId="34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4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47">
      <calculatedColumnFormula>TblMili[[#This Row],[Frost Mage bonus]]*TblMili[[#This Row],[Unit 3]]+TblMili[[#This Row],[Ice Elemental bonus]]*TblMili[[#This Row],[Unit 4]]</calculatedColumnFormula>
    </tableColumn>
    <tableColumn id="100" xr3:uid="{A2072E36-3982-4B78-93F1-3B2C7DD41EB6}" name="Column46" dataDxfId="346"/>
    <tableColumn id="101" xr3:uid="{AA2C19ED-CD7C-4497-8949-4735D8380A50}" name="Favorable Terrain Bonus" dataDxfId="345" dataCellStyle="Percent">
      <calculatedColumnFormula>MIN(SUM(TblConstr[[#This Row],[Plain]:[Water]])/TblMili[[#This Row],[Land]]/favorable_terrain_bonus/100,favorable_terrain_max)</calculatedColumnFormula>
    </tableColumn>
    <tableColumn id="102" xr3:uid="{045A1C5D-FFD7-4F37-8C55-3E1C6325D69C}" name="Column48" dataDxfId="344"/>
    <tableColumn id="103" xr3:uid="{CA1D4487-36A8-42BE-AAE8-1C025B923059}" name="Networth (2)" dataDxfId="34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342"/>
    <tableColumn id="105" xr3:uid="{628D592A-8396-4FB0-BFC1-BC7CA81586EE}" name="Raw (2)" dataDxfId="341">
      <calculatedColumnFormula>(TblMili[[#This Row],[Wizards]]+2*TblMili[[#This Row],[Archmages]])/TblConstr[[#This Row],[Land]]</calculatedColumnFormula>
    </tableColumn>
    <tableColumn id="106" xr3:uid="{016BFDB0-CD57-41C0-AF17-CB540C2E962C}" name="Modded (2)" dataDxfId="34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339" dataDxfId="337" headerRowBorderDxfId="338" tableBorderDxfId="33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335">
      <calculatedColumnFormula>TblRezone[[#This Row],[Hour]]</calculatedColumnFormula>
    </tableColumn>
    <tableColumn id="2" xr3:uid="{E160E2FF-C983-4A55-B03E-684BAA5D56D7}" name="Land" dataDxfId="334">
      <calculatedColumnFormula>TblConstr[[#This Row],[Land]]</calculatedColumnFormula>
    </tableColumn>
    <tableColumn id="3" xr3:uid="{CEA3931F-9B77-4317-A7C7-C5D0214A12BA}" name="Mana" dataDxfId="333">
      <calculatedColumnFormula>TblProd[[#This Row],[Mana]]</calculatedColumnFormula>
    </tableColumn>
    <tableColumn id="4" xr3:uid="{D383CA2D-65F3-4634-A1DD-E4ECA1CC96C8}" name="Wiz str" dataDxfId="33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31">
      <calculatedColumnFormula>OFFSET(TblMagic[[#This Row],[Time]],-1,0)+1/24</calculatedColumnFormula>
    </tableColumn>
    <tableColumn id="6" xr3:uid="{6625E0CA-37E1-457D-817F-784FA6A7A47B}" name="Pop" dataDxfId="330">
      <calculatedColumnFormula>TblImps[[#This Row],[Population]]</calculatedColumnFormula>
    </tableColumn>
    <tableColumn id="7" xr3:uid="{74B4A440-273D-4100-B1BC-91171D1D20B6}" name="Gaia's Watch" dataDxfId="329"/>
    <tableColumn id="8" xr3:uid="{43E4A01F-74F7-4C30-9D8A-3079A04763B9}" name="Mining Strength" dataDxfId="328"/>
    <tableColumn id="9" xr3:uid="{1A92950C-8F89-409E-9002-FCC57F75ADE0}" name="Ares Call" dataDxfId="327"/>
    <tableColumn id="10" xr3:uid="{A04C0737-02D0-4DAA-B9D7-324E3D59498C}" name="Midas Touch" dataDxfId="326"/>
    <tableColumn id="11" xr3:uid="{028D46F5-0AAD-49F8-AC48-D5E2C41FD4C2}" name="Harmony" dataDxfId="325"/>
    <tableColumn id="12" xr3:uid="{42548E68-C2D5-44CD-99FA-6AD40E64E185}" name="Miner's Sight" dataDxfId="324"/>
    <tableColumn id="13" xr3:uid="{D64F8C18-3DBE-4D7A-8AA3-C35E04DD6CAC}" name="Mechanical Genius" dataDxfId="323"/>
    <tableColumn id="14" xr3:uid="{0165862E-59ED-45FB-BD5A-0C7DCAA39217}" name="Frenzy" dataDxfId="78"/>
    <tableColumn id="15" xr3:uid="{762B30AD-670D-48C3-94F1-2BA1DC4089CC}" name="Killing Rage / Bloodrage / Crusade" dataDxfId="322"/>
    <tableColumn id="16" xr3:uid="{0162EA56-857C-4157-A7AB-4D90C9EA47F1}" name="Gaia's Blessing" dataDxfId="321"/>
    <tableColumn id="17" xr3:uid="{6D83302D-974B-4742-8BDA-D99BB673F6D7}" name="Howling" dataDxfId="320"/>
    <tableColumn id="18" xr3:uid="{081EE08A-AA95-4648-9376-F68D04887352}" name="Alchemist Frost" dataDxfId="319"/>
    <tableColumn id="19" xr3:uid="{3BCC0361-67FB-4576-8296-8E91F374A4A4}" name="Alchemists Flame" dataDxfId="318"/>
    <tableColumn id="20" xr3:uid="{CFB1AFFE-0570-4E81-B96B-5EE870CC5038}" name="Nightfall" dataDxfId="317"/>
    <tableColumn id="40" xr3:uid="{CD69E8F6-3FD6-49C0-9EB8-DB9FD0CAA6D9}" name="Favorable Terrain" dataDxfId="316"/>
    <tableColumn id="21" xr3:uid="{4F53D2F5-E2E8-4AEE-975D-5B925FA589B0}" name="Useless spell" dataDxfId="315"/>
    <tableColumn id="22" xr3:uid="{E7040239-1040-4E8C-8EEB-3D517AC825BD}" name="." dataDxfId="314"/>
    <tableColumn id="23" xr3:uid="{8F45EE21-92D1-4622-B103-16B477DF630B}" name="Mana cost" dataDxfId="31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312">
      <calculatedColumnFormula>SUMIF(TblMagic[[#This Row],[Gaia''s Watch]:[Useless spell]],1)*0.05</calculatedColumnFormula>
    </tableColumn>
    <tableColumn id="25" xr3:uid="{2466DF86-89FE-4172-9850-F9FBAE56839D}" name=".." dataDxfId="311"/>
    <tableColumn id="26" xr3:uid="{F8559349-C288-4EC3-B38A-23771E549D1D}" name="Active Gaia's Watch" dataDxfId="310">
      <calculatedColumnFormula>IF(TblMagic[[#This Row],[Gaia''s Watch]],12,IF(OFFSET(TblMagic[[#This Row],[Active Gaia''s Watch]],-1,0)&gt;0,OFFSET(TblMagic[[#This Row],[Active Gaia''s Watch]],-1,0)-1,0))</calculatedColumnFormula>
    </tableColumn>
    <tableColumn id="27" xr3:uid="{00F45689-4686-422F-8E94-89C18992B261}" name="Active Mining Strength" dataDxfId="30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308">
      <calculatedColumnFormula>IF(TblMagic[[#This Row],[Ares Call]],12,IF(OFFSET(TblMagic[[#This Row],[Active Ares Call]],-1,0)&gt;0,OFFSET(TblMagic[[#This Row],[Active Ares Call]],-1,0)-1,0))</calculatedColumnFormula>
    </tableColumn>
    <tableColumn id="29" xr3:uid="{BCC9ACB6-69AC-4DA1-B07D-F4802162CEF5}" name="Active Midas Touch" dataDxfId="307">
      <calculatedColumnFormula>IF(TblMagic[[#This Row],[Midas Touch]],12,IF(OFFSET(TblMagic[[#This Row],[Active Midas Touch]],-1,0)&gt;0,OFFSET(TblMagic[[#This Row],[Active Midas Touch]],-1,0)-1,0))</calculatedColumnFormula>
    </tableColumn>
    <tableColumn id="30" xr3:uid="{D13DA239-CC1B-41FD-A41B-68906B10F262}" name="Active Harmony" dataDxfId="306">
      <calculatedColumnFormula>IF(TblMagic[[#This Row],[Harmony]],12,IF(OFFSET(TblMagic[[#This Row],[Active Harmony]],-1,0)&gt;0,OFFSET(TblMagic[[#This Row],[Active Harmony]],-1,0)-1,0))</calculatedColumnFormula>
    </tableColumn>
    <tableColumn id="31" xr3:uid="{10D4FEA0-0AA8-4F31-8F5A-8576AE611BDA}" name="Active Miner's Sight" dataDxfId="30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30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79">
      <calculatedColumnFormula>IF(TblMagic[[#This Row],[Frenzy]],12,IF(OFFSET(TblMagic[[#This Row],[Active Frenzy]],-1,0)&gt;0,OFFSET(TblMagic[[#This Row],[Active Frenzy]],-1,0)-1,0))</calculatedColumnFormula>
    </tableColumn>
    <tableColumn id="34" xr3:uid="{3460E27B-FD4A-47FC-A87F-BAFED0FCC033}" name="Active Warsong / Killing Rage / Bloodrage" dataDxfId="30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302">
      <calculatedColumnFormula>IF(TblMagic[[#This Row],[Gaia''s Blessing]],12,IF(OFFSET(TblMagic[[#This Row],[Active Gaia''s Blessing]],-1,0)&gt;0,OFFSET(TblMagic[[#This Row],[Active Gaia''s Blessing]],-1,0)-1,0))</calculatedColumnFormula>
    </tableColumn>
    <tableColumn id="36" xr3:uid="{DB2BE469-2BE3-4333-BFBC-C2857399E743}" name="Active Howling" dataDxfId="301">
      <calculatedColumnFormula>IF(TblMagic[[#This Row],[Howling]],12,IF(OFFSET(TblMagic[[#This Row],[Active Howling]],-1,0)&gt;0,OFFSET(TblMagic[[#This Row],[Active Howling]],-1,0)-1,0))</calculatedColumnFormula>
    </tableColumn>
    <tableColumn id="37" xr3:uid="{F5838FA3-8068-44AA-A6A2-758F46E5F78D}" name="Active Alch Frost" dataDxfId="300">
      <calculatedColumnFormula>IF(TblMagic[[#This Row],[Alchemist Frost]],12,IF(OFFSET(TblMagic[[#This Row],[Active Alch Frost]],-1,0)&gt;0,OFFSET(TblMagic[[#This Row],[Active Alch Frost]],-1,0)-1,0))</calculatedColumnFormula>
    </tableColumn>
    <tableColumn id="38" xr3:uid="{11215FCC-A994-4C4E-835C-F365C4B7BDF8}" name="Active Alchemists Flame" dataDxfId="29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98">
      <calculatedColumnFormula>IF(TblMagic[[#This Row],[Nightfall]],12,IF(OFFSET(TblMagic[[#This Row],[Active Nightfall]],-1,0)&gt;0,OFFSET(TblMagic[[#This Row],[Active Nightfall]],-1,0)-1,0))</calculatedColumnFormula>
    </tableColumn>
    <tableColumn id="41" xr3:uid="{E8FFEB0A-82D1-4B3D-86CE-6103CDF8A0FD}" name="Active Favorable Terrain" dataDxfId="297">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96" dataDxfId="29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94">
      <calculatedColumnFormula>TblRezone[[#This Row],[Hour]]</calculatedColumnFormula>
    </tableColumn>
    <tableColumn id="3" xr3:uid="{DA4A1ACF-68D6-4564-BB1C-C3C3172606A1}" name="Land" dataDxfId="293">
      <calculatedColumnFormula>TblExplore[[#This Row],[Land-DB]]</calculatedColumnFormula>
    </tableColumn>
    <tableColumn id="4" xr3:uid="{05D0DCAF-595D-47DB-9D6C-DB4A543CF655}" name="Techpoints" dataDxfId="292">
      <calculatedColumnFormula>TblProd[[#This Row],[Techpoints]]</calculatedColumnFormula>
    </tableColumn>
    <tableColumn id="5" xr3:uid="{B8D24105-AE76-4A7C-9D26-589CB9891ED4}" name="Cost" dataDxfId="291">
      <calculatedColumnFormula>TblProd[[#This Row],[Required]]</calculatedColumnFormula>
    </tableColumn>
    <tableColumn id="93" xr3:uid="{2ABEB4AB-3FE9-4283-8DD1-DADEE729E1F4}" name="." dataDxfId="290"/>
    <tableColumn id="9" xr3:uid="{94ADF196-65A4-42D5-B9F1-902A2448736A}" name="Activate @ hour" dataDxfId="289"/>
    <tableColumn id="10" xr3:uid="{41EC03BC-D935-4DB1-9358-D7E68CB11DA3}" name="Number" dataDxfId="288"/>
    <tableColumn id="19" xr3:uid="{8781F361-D9CA-4DDC-83D1-8F9FCDC61FD4}" name="Tech name" dataDxfId="287"/>
    <tableColumn id="11" xr3:uid="{ED497BC4-A3FE-4968-980C-41E3E397E8F1}" name="Gains" dataDxfId="286"/>
    <tableColumn id="20" xr3:uid="{B66F94F3-B0AC-4CC0-9E7C-4CF7E4C92EEE}" name=".." dataDxfId="285"/>
    <tableColumn id="21" xr3:uid="{4775993E-7C72-4134-8A78-3FB7DCE45728}" name="…" dataDxfId="284">
      <calculatedColumnFormula>IF(TblTech[[#This Row],[Sum of tech]]&lt;&gt;OFFSET(TblTech[[#This Row],[Sum of tech]],-1,0),1,0)</calculatedColumnFormula>
    </tableColumn>
    <tableColumn id="22" xr3:uid="{DFF59F63-FD6B-45DE-9EEF-3899A7D747EF}" name="Sum of tech" dataDxfId="283">
      <calculatedColumnFormula>COUNTIF(TblTech[[#This Row],[1-1]:[11-1]],1)</calculatedColumnFormula>
    </tableColumn>
    <tableColumn id="23" xr3:uid="{26B2ED42-21EF-41D3-8431-65B8DCB84C2C}" name="1-1" dataDxfId="282">
      <calculatedColumnFormula array="1">IF(AND(M$2&lt;&gt;0,TblTech[[#This Row],[Hour]:[Hour]]&gt;=M$2),1,0)</calculatedColumnFormula>
    </tableColumn>
    <tableColumn id="24" xr3:uid="{50258140-FB02-4B3A-8985-9EF35792D437}" name="1-2" dataDxfId="281">
      <calculatedColumnFormula array="1">IF(AND(N$2&lt;&gt;0,TblTech[[#This Row],[Hour]:[Hour]]&gt;=N$2),1,0)</calculatedColumnFormula>
    </tableColumn>
    <tableColumn id="25" xr3:uid="{7124BFDC-5B72-4806-BD66-A9B40B96E890}" name="1-3" dataDxfId="280">
      <calculatedColumnFormula array="1">IF(AND(O$2&lt;&gt;0,TblTech[[#This Row],[Hour]:[Hour]]&gt;=O$2),1,0)</calculatedColumnFormula>
    </tableColumn>
    <tableColumn id="26" xr3:uid="{7F0A139B-B30E-4409-9274-8016025EA227}" name="1-4" dataDxfId="279">
      <calculatedColumnFormula array="1">IF(AND(P$2&lt;&gt;0,TblTech[[#This Row],[Hour]:[Hour]]&gt;=P$2),1,0)</calculatedColumnFormula>
    </tableColumn>
    <tableColumn id="27" xr3:uid="{29B9EAE2-227D-4807-9E41-445565CAAFF7}" name="1-5" dataDxfId="278">
      <calculatedColumnFormula array="1">IF(AND(Q$2&lt;&gt;0,TblTech[[#This Row],[Hour]:[Hour]]&gt;=Q$2),1,0)</calculatedColumnFormula>
    </tableColumn>
    <tableColumn id="28" xr3:uid="{43587F1E-C217-44F9-817A-0114F7F48D02}" name="1-6" dataDxfId="277">
      <calculatedColumnFormula array="1">IF(AND(R$2&lt;&gt;0,TblTech[[#This Row],[Hour]:[Hour]]&gt;=R$2),1,0)</calculatedColumnFormula>
    </tableColumn>
    <tableColumn id="29" xr3:uid="{0524F9E6-09EC-4986-B7A6-35B925952E60}" name="1-7" dataDxfId="276">
      <calculatedColumnFormula array="1">IF(AND(S$2&lt;&gt;0,TblTech[[#This Row],[Hour]:[Hour]]&gt;=S$2),1,0)</calculatedColumnFormula>
    </tableColumn>
    <tableColumn id="30" xr3:uid="{188B6808-99A1-4A91-A689-87097F62C1C1}" name="1-8" dataDxfId="275">
      <calculatedColumnFormula array="1">IF(AND(T$2&lt;&gt;0,TblTech[[#This Row],[Hour]:[Hour]]&gt;=T$2),1,0)</calculatedColumnFormula>
    </tableColumn>
    <tableColumn id="31" xr3:uid="{DC02C18F-47C9-4A23-8F34-9E02A677D29B}" name="1-9" dataDxfId="274">
      <calculatedColumnFormula array="1">IF(AND(U$2&lt;&gt;0,TblTech[[#This Row],[Hour]:[Hour]]&gt;=U$2),1,0)</calculatedColumnFormula>
    </tableColumn>
    <tableColumn id="32" xr3:uid="{21B6A564-7028-4932-914B-F32A59CAEC67}" name="1-10" dataDxfId="273">
      <calculatedColumnFormula array="1">IF(AND(V$2&lt;&gt;0,TblTech[[#This Row],[Hour]:[Hour]]&gt;=V$2),1,0)</calculatedColumnFormula>
    </tableColumn>
    <tableColumn id="33" xr3:uid="{BE08B152-511E-4680-AD58-AFCC2777EE65}" name="1-11" dataDxfId="272">
      <calculatedColumnFormula array="1">IF(AND(W$2&lt;&gt;0,TblTech[[#This Row],[Hour]:[Hour]]&gt;=W$2),1,0)</calculatedColumnFormula>
    </tableColumn>
    <tableColumn id="34" xr3:uid="{F0B67B28-DF8B-4FF4-BE8F-BD953642450D}" name="2-1" dataDxfId="271">
      <calculatedColumnFormula array="1">IF(AND(X$2&lt;&gt;0,TblTech[[#This Row],[Hour]:[Hour]]&gt;=X$2),1,0)</calculatedColumnFormula>
    </tableColumn>
    <tableColumn id="35" xr3:uid="{E1C38FB5-1814-43BE-8628-9E331159B491}" name="2-2" dataDxfId="270">
      <calculatedColumnFormula array="1">IF(AND(Y$2&lt;&gt;0,TblTech[[#This Row],[Hour]:[Hour]]&gt;=Y$2),1,0)</calculatedColumnFormula>
    </tableColumn>
    <tableColumn id="36" xr3:uid="{8EEFA1A3-F668-44A9-99D5-F625CDEC0846}" name="2-3" dataDxfId="269">
      <calculatedColumnFormula array="1">IF(AND(Z$2&lt;&gt;0,TblTech[[#This Row],[Hour]:[Hour]]&gt;=Z$2),1,0)</calculatedColumnFormula>
    </tableColumn>
    <tableColumn id="37" xr3:uid="{8B9C353C-5141-4E70-88A8-3C0ADC0F65A2}" name="2-4" dataDxfId="268">
      <calculatedColumnFormula array="1">IF(AND(AA$2&lt;&gt;0,TblTech[[#This Row],[Hour]:[Hour]]&gt;=AA$2),1,0)</calculatedColumnFormula>
    </tableColumn>
    <tableColumn id="38" xr3:uid="{4F9949FA-D32C-43B0-A632-BDA246027740}" name="2-5" dataDxfId="267">
      <calculatedColumnFormula array="1">IF(AND(AB$2&lt;&gt;0,TblTech[[#This Row],[Hour]:[Hour]]&gt;=AB$2),1,0)</calculatedColumnFormula>
    </tableColumn>
    <tableColumn id="39" xr3:uid="{E35ABE45-7462-4288-879B-43C24510B588}" name="2-6" dataDxfId="266">
      <calculatedColumnFormula array="1">IF(AND(AC$2&lt;&gt;0,TblTech[[#This Row],[Hour]:[Hour]]&gt;=AC$2),1,0)</calculatedColumnFormula>
    </tableColumn>
    <tableColumn id="40" xr3:uid="{B02ACA29-3024-4B8E-B2F0-E65F48E762BF}" name="2-7" dataDxfId="265">
      <calculatedColumnFormula array="1">IF(AND(AD$2&lt;&gt;0,TblTech[[#This Row],[Hour]:[Hour]]&gt;=AD$2),1,0)</calculatedColumnFormula>
    </tableColumn>
    <tableColumn id="41" xr3:uid="{34022863-F0D7-473E-B433-052438597C70}" name="2-8" dataDxfId="264">
      <calculatedColumnFormula array="1">IF(AND(AE$2&lt;&gt;0,TblTech[[#This Row],[Hour]:[Hour]]&gt;=AE$2),1,0)</calculatedColumnFormula>
    </tableColumn>
    <tableColumn id="42" xr3:uid="{4264B147-345F-4187-898B-976D4720C3B2}" name="2-9" dataDxfId="263">
      <calculatedColumnFormula array="1">IF(AND(AF$2&lt;&gt;0,TblTech[[#This Row],[Hour]:[Hour]]&gt;=AF$2),1,0)</calculatedColumnFormula>
    </tableColumn>
    <tableColumn id="43" xr3:uid="{040A812F-9A82-4FA5-96D4-BB0CE9B1567D}" name="2-10" dataDxfId="262">
      <calculatedColumnFormula array="1">IF(AND(AG$2&lt;&gt;0,TblTech[[#This Row],[Hour]:[Hour]]&gt;=AG$2),1,0)</calculatedColumnFormula>
    </tableColumn>
    <tableColumn id="44" xr3:uid="{65E9F477-8A73-4C7D-9453-E8F8A13C4220}" name="3-1" dataDxfId="261">
      <calculatedColumnFormula array="1">IF(AND(AH$2&lt;&gt;0,TblTech[[#This Row],[Hour]:[Hour]]&gt;=AH$2),1,0)</calculatedColumnFormula>
    </tableColumn>
    <tableColumn id="45" xr3:uid="{86A8FA88-B983-4431-9D5A-9A068F2DE89C}" name="3-2" dataDxfId="260">
      <calculatedColumnFormula array="1">IF(AND(AI$2&lt;&gt;0,TblTech[[#This Row],[Hour]:[Hour]]&gt;=AI$2),1,0)</calculatedColumnFormula>
    </tableColumn>
    <tableColumn id="46" xr3:uid="{B4D6E3D7-41BB-4A05-98AF-36C706567C66}" name="3-3" dataDxfId="259">
      <calculatedColumnFormula array="1">IF(AND(AJ$2&lt;&gt;0,TblTech[[#This Row],[Hour]:[Hour]]&gt;=AJ$2),1,0)</calculatedColumnFormula>
    </tableColumn>
    <tableColumn id="47" xr3:uid="{A65655BF-F389-46E7-B712-282C9B16E721}" name="3-4" dataDxfId="258">
      <calculatedColumnFormula array="1">IF(AND(AK$2&lt;&gt;0,TblTech[[#This Row],[Hour]:[Hour]]&gt;=AK$2),1,0)</calculatedColumnFormula>
    </tableColumn>
    <tableColumn id="48" xr3:uid="{6AC53AFF-C5BC-4C6E-A226-AD750DEF26F0}" name="3-5" dataDxfId="257">
      <calculatedColumnFormula array="1">IF(AND(AL$2&lt;&gt;0,TblTech[[#This Row],[Hour]:[Hour]]&gt;=AL$2),1,0)</calculatedColumnFormula>
    </tableColumn>
    <tableColumn id="49" xr3:uid="{517C8F30-6F70-4A9F-930D-87F70A281D06}" name="3-6" dataDxfId="256">
      <calculatedColumnFormula array="1">IF(AND(AM$2&lt;&gt;0,TblTech[[#This Row],[Hour]:[Hour]]&gt;=AM$2),1,0)</calculatedColumnFormula>
    </tableColumn>
    <tableColumn id="50" xr3:uid="{3B9D0CD9-1DC1-4BF8-84D6-0C15DCE53BA3}" name="3-7" dataDxfId="255">
      <calculatedColumnFormula array="1">IF(AND(AN$2&lt;&gt;0,TblTech[[#This Row],[Hour]:[Hour]]&gt;=AN$2),1,0)</calculatedColumnFormula>
    </tableColumn>
    <tableColumn id="51" xr3:uid="{BF773A1C-6C94-4253-89D5-6B882BDABD54}" name="3-8" dataDxfId="254">
      <calculatedColumnFormula array="1">IF(AND(AO$2&lt;&gt;0,TblTech[[#This Row],[Hour]:[Hour]]&gt;=AO$2),1,0)</calculatedColumnFormula>
    </tableColumn>
    <tableColumn id="52" xr3:uid="{D719799C-D81A-4575-B1F1-9835FB72D924}" name="3-9" dataDxfId="253">
      <calculatedColumnFormula array="1">IF(AND(AP$2&lt;&gt;0,TblTech[[#This Row],[Hour]:[Hour]]&gt;=AP$2),1,0)</calculatedColumnFormula>
    </tableColumn>
    <tableColumn id="53" xr3:uid="{81CD67AD-C2F6-496B-991C-75EACF4860E0}" name="4-1" dataDxfId="252">
      <calculatedColumnFormula array="1">IF(AND(AQ$2&lt;&gt;0,TblTech[[#This Row],[Hour]:[Hour]]&gt;=AQ$2),1,0)</calculatedColumnFormula>
    </tableColumn>
    <tableColumn id="54" xr3:uid="{3255B3D4-FF8E-4B91-8A83-C128D00B29D0}" name="4-2" dataDxfId="251">
      <calculatedColumnFormula array="1">IF(AND(AR$2&lt;&gt;0,TblTech[[#This Row],[Hour]:[Hour]]&gt;=AR$2),1,0)</calculatedColumnFormula>
    </tableColumn>
    <tableColumn id="55" xr3:uid="{E9B22F56-FCCE-4890-8FF4-FF6D8C0863D0}" name="4-3" dataDxfId="250">
      <calculatedColumnFormula array="1">IF(AND(AS$2&lt;&gt;0,TblTech[[#This Row],[Hour]:[Hour]]&gt;=AS$2),1,0)</calculatedColumnFormula>
    </tableColumn>
    <tableColumn id="56" xr3:uid="{1C0A6BE0-6DBC-40E6-B512-F921E4637B0B}" name="4-4" dataDxfId="249">
      <calculatedColumnFormula array="1">IF(AND(AT$2&lt;&gt;0,TblTech[[#This Row],[Hour]:[Hour]]&gt;=AT$2),1,0)</calculatedColumnFormula>
    </tableColumn>
    <tableColumn id="57" xr3:uid="{5DAC0420-BB86-481B-957A-78DB826A7E20}" name="4-5" dataDxfId="248">
      <calculatedColumnFormula array="1">IF(AND(AU$2&lt;&gt;0,TblTech[[#This Row],[Hour]:[Hour]]&gt;=AU$2),1,0)</calculatedColumnFormula>
    </tableColumn>
    <tableColumn id="58" xr3:uid="{2442830B-618D-4A03-A6E6-23EC65BAB59B}" name="4-6" dataDxfId="247">
      <calculatedColumnFormula array="1">IF(AND(AV$2&lt;&gt;0,TblTech[[#This Row],[Hour]:[Hour]]&gt;=AV$2),1,0)</calculatedColumnFormula>
    </tableColumn>
    <tableColumn id="59" xr3:uid="{8AB48F18-B215-484F-9058-BE5431D00ED5}" name="4-7" dataDxfId="246">
      <calculatedColumnFormula array="1">IF(AND(AW$2&lt;&gt;0,TblTech[[#This Row],[Hour]:[Hour]]&gt;=AW$2),1,0)</calculatedColumnFormula>
    </tableColumn>
    <tableColumn id="60" xr3:uid="{3B7FB99A-0607-4DBC-A93C-47B6B21464A5}" name="4-8" dataDxfId="245">
      <calculatedColumnFormula array="1">IF(AND(AX$2&lt;&gt;0,TblTech[[#This Row],[Hour]:[Hour]]&gt;=AX$2),1,0)</calculatedColumnFormula>
    </tableColumn>
    <tableColumn id="61" xr3:uid="{CFAAB1A4-4760-4FF3-BF0E-D276BAEF346A}" name="5-1" dataDxfId="244">
      <calculatedColumnFormula array="1">IF(AND(AY$2&lt;&gt;0,TblTech[[#This Row],[Hour]:[Hour]]&gt;=AY$2),1,0)</calculatedColumnFormula>
    </tableColumn>
    <tableColumn id="62" xr3:uid="{E5F62076-AF81-4EE1-A6D2-C4FBF4181C93}" name="5-2" dataDxfId="243">
      <calculatedColumnFormula array="1">IF(AND(AZ$2&lt;&gt;0,TblTech[[#This Row],[Hour]:[Hour]]&gt;=AZ$2),1,0)</calculatedColumnFormula>
    </tableColumn>
    <tableColumn id="63" xr3:uid="{EE3346E8-7A22-4F0A-94B7-B36570A0B72E}" name="5-3" dataDxfId="242">
      <calculatedColumnFormula array="1">IF(AND(BA$2&lt;&gt;0,TblTech[[#This Row],[Hour]:[Hour]]&gt;=BA$2),1,0)</calculatedColumnFormula>
    </tableColumn>
    <tableColumn id="64" xr3:uid="{19F3E157-570E-4E1E-BCC2-3EF92D7B8A8B}" name="5-4" dataDxfId="241">
      <calculatedColumnFormula array="1">IF(AND(BB$2&lt;&gt;0,TblTech[[#This Row],[Hour]:[Hour]]&gt;=BB$2),1,0)</calculatedColumnFormula>
    </tableColumn>
    <tableColumn id="65" xr3:uid="{A59D5D3A-678C-49C4-A3B5-D86FF0C14500}" name="5-5" dataDxfId="240">
      <calculatedColumnFormula array="1">IF(AND(BC$2&lt;&gt;0,TblTech[[#This Row],[Hour]:[Hour]]&gt;=BC$2),1,0)</calculatedColumnFormula>
    </tableColumn>
    <tableColumn id="66" xr3:uid="{3EBEC9F5-18F1-461D-AF3F-E66DA870B9ED}" name="5-6" dataDxfId="239">
      <calculatedColumnFormula array="1">IF(AND(BD$2&lt;&gt;0,TblTech[[#This Row],[Hour]:[Hour]]&gt;=BD$2),1,0)</calculatedColumnFormula>
    </tableColumn>
    <tableColumn id="67" xr3:uid="{20985549-198B-4F2A-AF78-070BD8A22298}" name="5-7" dataDxfId="238">
      <calculatedColumnFormula array="1">IF(AND(BE$2&lt;&gt;0,TblTech[[#This Row],[Hour]:[Hour]]&gt;=BE$2),1,0)</calculatedColumnFormula>
    </tableColumn>
    <tableColumn id="68" xr3:uid="{F4DDB15D-3A5D-449E-8491-EA836A4AB090}" name="6-1" dataDxfId="237">
      <calculatedColumnFormula array="1">IF(AND(BF$2&lt;&gt;0,TblTech[[#This Row],[Hour]:[Hour]]&gt;=BF$2),1,0)</calculatedColumnFormula>
    </tableColumn>
    <tableColumn id="69" xr3:uid="{CC7E2300-DCD5-46C6-AD93-8F283F035DAF}" name="6-2" dataDxfId="236">
      <calculatedColumnFormula array="1">IF(AND(BG$2&lt;&gt;0,TblTech[[#This Row],[Hour]:[Hour]]&gt;=BG$2),1,0)</calculatedColumnFormula>
    </tableColumn>
    <tableColumn id="70" xr3:uid="{0DC5B532-84DD-40E3-9A96-3B7ED120C52C}" name="6-3" dataDxfId="235">
      <calculatedColumnFormula array="1">IF(AND(BH$2&lt;&gt;0,TblTech[[#This Row],[Hour]:[Hour]]&gt;=BH$2),1,0)</calculatedColumnFormula>
    </tableColumn>
    <tableColumn id="71" xr3:uid="{DBF8F56A-2B38-47BE-86BB-D34F12B071FA}" name="6-4" dataDxfId="234">
      <calculatedColumnFormula array="1">IF(AND(BI$2&lt;&gt;0,TblTech[[#This Row],[Hour]:[Hour]]&gt;=BI$2),1,0)</calculatedColumnFormula>
    </tableColumn>
    <tableColumn id="72" xr3:uid="{8A63D20A-B735-48C5-9D04-93C0E6922380}" name="6-5" dataDxfId="233">
      <calculatedColumnFormula array="1">IF(AND(BJ$2&lt;&gt;0,TblTech[[#This Row],[Hour]:[Hour]]&gt;=BJ$2),1,0)</calculatedColumnFormula>
    </tableColumn>
    <tableColumn id="73" xr3:uid="{40ABCA6E-09C4-437C-8184-D2AA8A46BADC}" name="6-6" dataDxfId="232">
      <calculatedColumnFormula array="1">IF(AND(BK$2&lt;&gt;0,TblTech[[#This Row],[Hour]:[Hour]]&gt;=BK$2),1,0)</calculatedColumnFormula>
    </tableColumn>
    <tableColumn id="74" xr3:uid="{304D27FC-5054-456F-9FA0-3E170324E735}" name="7-1" dataDxfId="231">
      <calculatedColumnFormula array="1">IF(AND(BL$2&lt;&gt;0,TblTech[[#This Row],[Hour]:[Hour]]&gt;=BL$2),1,0)</calculatedColumnFormula>
    </tableColumn>
    <tableColumn id="75" xr3:uid="{F53A9B26-BE5F-4442-9E77-570EB38C7B2D}" name="7-2" dataDxfId="230">
      <calculatedColumnFormula array="1">IF(AND(BM$2&lt;&gt;0,TblTech[[#This Row],[Hour]:[Hour]]&gt;=BM$2),1,0)</calculatedColumnFormula>
    </tableColumn>
    <tableColumn id="76" xr3:uid="{5A1C0BCB-6C77-48A3-8B36-DA0838BEFD4F}" name="7-3" dataDxfId="229">
      <calculatedColumnFormula array="1">IF(AND(BN$2&lt;&gt;0,TblTech[[#This Row],[Hour]:[Hour]]&gt;=BN$2),1,0)</calculatedColumnFormula>
    </tableColumn>
    <tableColumn id="77" xr3:uid="{96D50B4B-A1C4-4AE1-87EE-409B3128CB4D}" name="7-4" dataDxfId="228">
      <calculatedColumnFormula array="1">IF(AND(BO$2&lt;&gt;0,TblTech[[#This Row],[Hour]:[Hour]]&gt;=BO$2),1,0)</calculatedColumnFormula>
    </tableColumn>
    <tableColumn id="78" xr3:uid="{64A36F5D-65DB-44C8-84EC-A1A1FFF2B3AB}" name="7-5" dataDxfId="227">
      <calculatedColumnFormula array="1">IF(AND(BP$2&lt;&gt;0,TblTech[[#This Row],[Hour]:[Hour]]&gt;=BP$2),1,0)</calculatedColumnFormula>
    </tableColumn>
    <tableColumn id="79" xr3:uid="{73D8C7B5-D3FC-4DB3-BB3C-6A056F59A2A0}" name="8-1" dataDxfId="226">
      <calculatedColumnFormula array="1">IF(AND(BQ$2&lt;&gt;0,TblTech[[#This Row],[Hour]:[Hour]]&gt;=BQ$2),1,0)</calculatedColumnFormula>
    </tableColumn>
    <tableColumn id="80" xr3:uid="{8C8F01C9-13ED-4ABA-B4ED-5D892B20A077}" name="8-2" dataDxfId="225">
      <calculatedColumnFormula array="1">IF(AND(BR$2&lt;&gt;0,TblTech[[#This Row],[Hour]:[Hour]]&gt;=BR$2),1,0)</calculatedColumnFormula>
    </tableColumn>
    <tableColumn id="81" xr3:uid="{954DF58F-2216-42C3-A4F3-4A1B568C8A7F}" name="8-3" dataDxfId="224">
      <calculatedColumnFormula array="1">IF(AND(BS$2&lt;&gt;0,TblTech[[#This Row],[Hour]:[Hour]]&gt;=BS$2),1,0)</calculatedColumnFormula>
    </tableColumn>
    <tableColumn id="82" xr3:uid="{941FAEC7-7D7C-4C75-9F8E-BB3469E2F29F}" name="8-4" dataDxfId="223">
      <calculatedColumnFormula array="1">IF(AND(BT$2&lt;&gt;0,TblTech[[#This Row],[Hour]:[Hour]]&gt;=BT$2),1,0)</calculatedColumnFormula>
    </tableColumn>
    <tableColumn id="83" xr3:uid="{27C9395E-8B81-4CBA-8523-A330679CAE04}" name="9-1" dataDxfId="222">
      <calculatedColumnFormula array="1">IF(AND(BU$2&lt;&gt;0,TblTech[[#This Row],[Hour]:[Hour]]&gt;=BU$2),1,0)</calculatedColumnFormula>
    </tableColumn>
    <tableColumn id="84" xr3:uid="{90667EBE-7747-4976-9947-BD9386AEC90C}" name="9-2" dataDxfId="221">
      <calculatedColumnFormula array="1">IF(AND(BV$2&lt;&gt;0,TblTech[[#This Row],[Hour]:[Hour]]&gt;=BV$2),1,0)</calculatedColumnFormula>
    </tableColumn>
    <tableColumn id="85" xr3:uid="{8AA93356-F62A-4D0B-B2F8-5CADB2567ECF}" name="9-3" dataDxfId="220">
      <calculatedColumnFormula array="1">IF(AND(BW$2&lt;&gt;0,TblTech[[#This Row],[Hour]:[Hour]]&gt;=BW$2),1,0)</calculatedColumnFormula>
    </tableColumn>
    <tableColumn id="86" xr3:uid="{C66AB8D9-7BBC-415A-8732-B5DF0FF2495D}" name="10-1" dataDxfId="219">
      <calculatedColumnFormula array="1">IF(AND(BX$2&lt;&gt;0,TblTech[[#This Row],[Hour]:[Hour]]&gt;=BX$2),1,0)</calculatedColumnFormula>
    </tableColumn>
    <tableColumn id="87" xr3:uid="{13FA2B9A-3F31-4A51-9E2B-753CC6C8AA88}" name="10-2" dataDxfId="218">
      <calculatedColumnFormula array="1">IF(AND(BY$2&lt;&gt;0,TblTech[[#This Row],[Hour]:[Hour]]&gt;=BY$2),1,0)</calculatedColumnFormula>
    </tableColumn>
    <tableColumn id="88" xr3:uid="{D4F65702-E3D7-4783-B103-20F8DD7E4532}" name="11-1" dataDxfId="217">
      <calculatedColumnFormula array="1">IF(AND(BZ$2&lt;&gt;0,TblTech[[#This Row],[Hour]:[Hour]]&gt;=BZ$2),1,0)</calculatedColumnFormula>
    </tableColumn>
    <tableColumn id="89" xr3:uid="{0428044E-0525-4B76-80C9-2D449BDFDA1D}" name="Tech" dataDxfId="216">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215" dataDxfId="213" headerRowBorderDxfId="214" tableBorderDxfId="212">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211">
      <calculatedColumnFormula>TblConstr[[#This Row],[Land]]</calculatedColumnFormula>
    </tableColumn>
    <tableColumn id="2" xr3:uid="{AF6EC8F3-9D95-46FD-B967-FAAF3638AE73}" name="." dataDxfId="210"/>
    <tableColumn id="3" xr3:uid="{FF282ACC-05AC-4142-89E7-09EE52E6FD72}" name="Platinum" dataDxfId="209">
      <calculatedColumnFormula>TblProd[[#This Row],[Platinum]]</calculatedColumnFormula>
    </tableColumn>
    <tableColumn id="4" xr3:uid="{F2178B14-2531-41FE-8DC7-F919571A183A}" name="Lumber" dataDxfId="208">
      <calculatedColumnFormula>TblProd[[#This Row],[Lumber]]</calculatedColumnFormula>
    </tableColumn>
    <tableColumn id="5" xr3:uid="{E437C993-EDEE-4BB3-942B-73180B524B81}" name="Ore" dataDxfId="207">
      <calculatedColumnFormula>TblProd[[#This Row],[Ore]]</calculatedColumnFormula>
    </tableColumn>
    <tableColumn id="6" xr3:uid="{C515063B-AE7C-4BAF-93AB-7443CE68AC54}" name="Gems" dataDxfId="206">
      <calculatedColumnFormula>TblProd[[#This Row],[Gems]]</calculatedColumnFormula>
    </tableColumn>
    <tableColumn id="7" xr3:uid="{935F3905-1AC4-42EE-8A78-476F2F815DFD}" name=".." dataDxfId="205"/>
    <tableColumn id="8" xr3:uid="{A8E01FC0-2F13-4C73-B50D-1FA1083B0FFA}" name="Drafees" dataDxfId="204">
      <calculatedColumnFormula>TblMili[[#This Row],[Draftees]]</calculatedColumnFormula>
    </tableColumn>
    <tableColumn id="9" xr3:uid="{FF70B178-883B-4FA3-B446-2BB364451655}" name="Employed" dataDxfId="203" dataCellStyle="Percent">
      <calculatedColumnFormula>TblPop[[#This Row],[Employment]]</calculatedColumnFormula>
    </tableColumn>
    <tableColumn id="10" xr3:uid="{8AB351E3-8FED-4F8D-951B-AA2D279B0091}" name="Population" dataDxfId="202" dataCellStyle="Percent">
      <calculatedColumnFormula>TblPop[[#This Row],[Total]]/TblPop[[#This Row],[Net max]]</calculatedColumnFormula>
    </tableColumn>
    <tableColumn id="11" xr3:uid="{3D13675F-4203-4882-AC02-B7629E90679D}" name="Hour" dataDxfId="201" dataCellStyle="Percent">
      <calculatedColumnFormula>TblRezone[[#This Row],[Hour]]</calculatedColumnFormula>
    </tableColumn>
    <tableColumn id="12" xr3:uid="{50E3FF0B-DB5B-4715-971A-2D8F804DD3F4}" name="Time" dataDxfId="200" dataCellStyle="Percent">
      <calculatedColumnFormula>TblImps[[#This Row],[Real time]]</calculatedColumnFormula>
    </tableColumn>
    <tableColumn id="13" xr3:uid="{33373A28-E349-4A6C-946C-A172D9829897}" name="Login" dataDxfId="199">
      <calculatedColumnFormula>IF(ISERROR(TblImps[[#This Row],[algorithm]]),0,TblImps[[#This Row],[algorithm]]*1)</calculatedColumnFormula>
    </tableColumn>
    <tableColumn id="14" xr3:uid="{820813AE-0D29-4E3D-B99A-7C5B810B4DA6}" name="Land (3)" dataDxfId="198">
      <calculatedColumnFormula>TblImps[[#This Row],[Land]]</calculatedColumnFormula>
    </tableColumn>
    <tableColumn id="15" xr3:uid="{D8234223-045A-48CE-8E60-8B1B718D1273}" name="Resource" dataDxfId="197"/>
    <tableColumn id="16" xr3:uid="{9AB57DEC-DF25-44AD-97D1-1EF820C63FF2}" name="Amount" dataDxfId="196"/>
    <tableColumn id="17" xr3:uid="{1ECA1762-52EB-4370-862C-42E5B7F71087}" name="Part" dataDxfId="195"/>
    <tableColumn id="18" xr3:uid="{45AD7F60-4F2F-47B2-8046-04C9C5A445EE}" name="Resource 2" dataDxfId="194"/>
    <tableColumn id="19" xr3:uid="{1D8720C7-5940-4FF1-AF3B-FB70E475E9BA}" name="Amount 2" dataDxfId="193"/>
    <tableColumn id="20" xr3:uid="{1AF884E5-0A32-404F-8142-8BDFCA31C5EF}" name="Part 2" dataDxfId="192"/>
    <tableColumn id="21" xr3:uid="{FFCC36EF-B2F1-46BE-827C-260D53435D8F}" name="Resource 3" dataDxfId="191"/>
    <tableColumn id="22" xr3:uid="{AAD98AF1-A248-4594-A8A2-ADB665DABE8F}" name="Amount 3" dataDxfId="190"/>
    <tableColumn id="23" xr3:uid="{5BDF5795-C792-45A5-AC6D-35BE17C06BBC}" name="Part 3" dataDxfId="189"/>
    <tableColumn id="24" xr3:uid="{AB1402EA-4B4E-4F7F-B76D-14CCFC4BF881}" name="…" dataDxfId="188"/>
    <tableColumn id="25" xr3:uid="{C82B3C56-E90F-4536-A41D-465C61544B49}" name="Science" dataDxfId="187">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86">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85">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84">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83">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82">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81"/>
    <tableColumn id="32" xr3:uid="{C7C4061A-6DA9-4687-A437-B442C90A5089}" name="Σ Science" dataDxfId="180">
      <calculatedColumnFormula>(1+Overview!$I$28)*SUM(TblImps[[#This Row],[P2]:[G2]])+OFFSET(TblImps[[#This Row],[Σ Science]],-1,0)</calculatedColumnFormula>
    </tableColumn>
    <tableColumn id="33" xr3:uid="{87424BBC-4CC9-4173-85AC-5C6A6ECFFB84}" name="Σ Keep" dataDxfId="179">
      <calculatedColumnFormula>(1+Overview!$I$28)*SUM(TblImps[[#This Row],[P3]:[G3]])+OFFSET(TblImps[[#This Row],[Σ Keep]],-1,0)</calculatedColumnFormula>
    </tableColumn>
    <tableColumn id="34" xr3:uid="{3DB81FE6-4CBC-4F36-973D-C8F8D1BD09A1}" name="Σ Towers" dataDxfId="178">
      <calculatedColumnFormula>(1+Overview!$I$28 + tech_7_1*TblTech[[#This Row],[7-1]])*SUM(TblImps[[#This Row],[P4]:[G4]])+OFFSET(TblImps[[#This Row],[Σ Towers]],-1,0)</calculatedColumnFormula>
    </tableColumn>
    <tableColumn id="35" xr3:uid="{485A62F9-7EE3-40A9-BDA7-9F3E4E3EC0E1}" name="Σ Forges" dataDxfId="177">
      <calculatedColumnFormula>(1+Overview!$I$28)*SUM(TblImps[[#This Row],[P5]:[G5]])+OFFSET(TblImps[[#This Row],[Σ Forges]],-1,0)</calculatedColumnFormula>
    </tableColumn>
    <tableColumn id="36" xr3:uid="{CEDFD8F7-5AA6-4236-AE0F-14B6F23AE524}" name="Σ Walls" dataDxfId="176">
      <calculatedColumnFormula>(1+Overview!$I$28)*SUM(TblImps[[#This Row],[P6]:[G6]])+OFFSET(TblImps[[#This Row],[Σ Walls]],-1,0)</calculatedColumnFormula>
    </tableColumn>
    <tableColumn id="37" xr3:uid="{1C140D1F-1021-4314-82BD-7176A05B078C}" name="Σ Irrigation" dataDxfId="175">
      <calculatedColumnFormula>(1+Overview!$I$28 + tech_7_1*TblTech[[#This Row],[7-1]])*SUM(TblImps[[#This Row],[P7]:[G7]])+OFFSET(TblImps[[#This Row],[Σ Irrigation]],-1,0)</calculatedColumnFormula>
    </tableColumn>
    <tableColumn id="38" xr3:uid="{808772B5-D74B-4C2E-9369-56BA268972E4}" name="….." dataDxfId="174"/>
    <tableColumn id="39" xr3:uid="{A732ACBF-AEA8-4BC8-8A5C-C0F5525B84B4}" name="P1" dataDxfId="173">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72">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71">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70">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69"/>
    <tableColumn id="44" xr3:uid="{B4E4C91D-5302-4D99-9223-7DC08C0F56E2}" name="P2" dataDxfId="168">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67">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66">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65">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64"/>
    <tableColumn id="49" xr3:uid="{2713D17E-C072-4464-ACFB-1E3B4E4768C8}" name="P3" dataDxfId="163">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62">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61">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60">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59"/>
    <tableColumn id="54" xr3:uid="{60744F8B-EA90-4F3F-908D-1DBF81E4FBBC}" name="P4" dataDxfId="158">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57">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56">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55">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54"/>
    <tableColumn id="59" xr3:uid="{7CAD4FEB-38C3-4ECC-9BB4-566F90D38057}" name="P5" dataDxfId="153">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52">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51">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50">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49"/>
    <tableColumn id="64" xr3:uid="{74BD3EE9-84CB-4606-9851-F46947A6E124}" name="P6" dataDxfId="148">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47">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46">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45">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44"/>
    <tableColumn id="69" xr3:uid="{C84893E8-5E85-463B-9E51-879ADAA64B83}" name="P7" dataDxfId="143">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42">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41">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40">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39"/>
    <tableColumn id="74" xr3:uid="{5E81B67E-95F1-40DA-AE37-BCD09DA9E039}" name="algorithm" dataDxfId="138">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137">
      <calculatedColumnFormula>TblImps[[#This Row],[Login]]</calculatedColumnFormula>
    </tableColumn>
    <tableColumn id="76" xr3:uid="{373275D8-3CBB-4F26-950F-26616E92A24E}" name="….........." dataDxfId="136"/>
    <tableColumn id="77" xr3:uid="{E49F0585-8289-43E9-991C-7685E6B37B5A}" name="Real time" dataDxfId="135">
      <calculatedColumnFormula>OFFSET(TblImps[[#This Row],[Real time]],-1,0)+1/24</calculatedColumnFormula>
    </tableColumn>
    <tableColumn id="78" xr3:uid="{9298E765-5AD3-4871-BC34-97C5588F3D7E}" name="Servertime" dataDxfId="134">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33" dataDxfId="132">
  <autoFilter ref="B2:E23" xr:uid="{D5B14ACA-C49B-4874-B495-C20CC986FF5C}"/>
  <tableColumns count="4">
    <tableColumn id="1" xr3:uid="{FDF1E222-5EC6-4F67-8D2F-219358D518C5}" name="Stats" dataDxfId="131"/>
    <tableColumn id="9" xr3:uid="{92C958C2-2DCD-4CDD-88AA-98294134A916}" name="Abbr" dataDxfId="130"/>
    <tableColumn id="2" xr3:uid="{1E0B1FDB-30FB-48CA-BD3D-8DF2FCB4975C}" name="Number" dataDxfId="129">
      <calculatedColumnFormula>_xlfn.IFNA(INDEX(TblConstr[],MATCH(Log!$I$28,TblConstr[Hour],0),MATCH(TblStats[[#This Row],[Abbr]],TblConstr[#Headers],0)),0)</calculatedColumnFormula>
    </tableColumn>
    <tableColumn id="3" xr3:uid="{ADBF0C8B-030F-4EBA-8274-EAA1CE134BB1}" name="Percent" dataDxfId="128"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127" dataDxfId="126" tableBorderDxfId="125">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24"/>
    <tableColumn id="2" xr3:uid="{00000000-0010-0000-0100-000002000000}" name="Alignment" dataDxfId="123"/>
    <tableColumn id="3" xr3:uid="{00000000-0010-0000-0100-000003000000}" name="Homeland_Type" dataDxfId="122"/>
    <tableColumn id="4" xr3:uid="{00000000-0010-0000-0100-000004000000}" name="Unitname" dataDxfId="121"/>
    <tableColumn id="5" xr3:uid="{00000000-0010-0000-0100-000005000000}" name="OffensePwr" dataDxfId="120"/>
    <tableColumn id="6" xr3:uid="{00000000-0010-0000-0100-000006000000}" name="DefensePwr" dataDxfId="119"/>
    <tableColumn id="7" xr3:uid="{00000000-0010-0000-0100-000007000000}" name="Platcost" dataDxfId="118"/>
    <tableColumn id="8" xr3:uid="{00000000-0010-0000-0100-000008000000}" name="Orecost" dataDxfId="117"/>
    <tableColumn id="9" xr3:uid="{00000000-0010-0000-0100-000009000000}" name="Networth" dataDxfId="116"/>
    <tableColumn id="12" xr3:uid="{00000000-0010-0000-0100-00000C000000}" name="Max population" dataDxfId="115"/>
    <tableColumn id="13" xr3:uid="{00000000-0010-0000-0100-00000D000000}" name="Pop growth" dataDxfId="114"/>
    <tableColumn id="14" xr3:uid="{00000000-0010-0000-0100-00000E000000}" name="Platinum prod" dataDxfId="113"/>
    <tableColumn id="15" xr3:uid="{00000000-0010-0000-0100-00000F000000}" name="Food prod" dataDxfId="112"/>
    <tableColumn id="16" xr3:uid="{00000000-0010-0000-0100-000010000000}" name="Lumber prod" dataDxfId="111"/>
    <tableColumn id="17" xr3:uid="{00000000-0010-0000-0100-000011000000}" name="Mana prod" dataDxfId="110"/>
    <tableColumn id="18" xr3:uid="{00000000-0010-0000-0100-000012000000}" name="Ore prod" dataDxfId="109"/>
    <tableColumn id="19" xr3:uid="{00000000-0010-0000-0100-000013000000}" name="Gem prod" dataDxfId="108"/>
    <tableColumn id="20" xr3:uid="{00000000-0010-0000-0100-000014000000}" name="Food cons" dataDxfId="107"/>
    <tableColumn id="21" xr3:uid="{00000000-0010-0000-0100-000015000000}" name="Defense" dataDxfId="106"/>
    <tableColumn id="22" xr3:uid="{00000000-0010-0000-0100-000016000000}" name="Offense" dataDxfId="105"/>
    <tableColumn id="23" xr3:uid="{00000000-0010-0000-0100-000017000000}" name="Spy strength" dataDxfId="104"/>
    <tableColumn id="24" xr3:uid="{00000000-0010-0000-0100-000018000000}" name="Wizard strength" dataDxfId="103"/>
    <tableColumn id="25" xr3:uid="{00000000-0010-0000-0100-000019000000}" name="Invest bonus" dataDxfId="102"/>
    <tableColumn id="26" xr3:uid="{00000000-0010-0000-0100-00001A000000}" name="Rezone Cost" dataDxfId="101" dataCellStyle="Percent"/>
    <tableColumn id="27" xr3:uid="{00000000-0010-0000-0100-00001B000000}" name="Construction Cost" dataDxfId="100"/>
    <tableColumn id="28" xr3:uid="{00000000-0010-0000-0100-00001C000000}" name="Research" dataDxfId="99"/>
    <tableColumn id="10" xr3:uid="{93A4F69F-9C60-42FB-B0E6-B78AAB579797}" name="Explore Cost" dataDxfId="98"/>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97" dataDxfId="96">
  <autoFilter ref="D90:D96" xr:uid="{00000000-0009-0000-0100-000002000000}"/>
  <tableColumns count="1">
    <tableColumn id="1" xr3:uid="{00000000-0010-0000-0200-000001000000}" name="waves:" dataDxfId="95"/>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0" t="s">
        <v>457</v>
      </c>
      <c r="B1" s="450"/>
      <c r="C1" s="450"/>
      <c r="D1" s="450"/>
      <c r="E1" s="450"/>
      <c r="F1" s="450"/>
      <c r="G1" s="450"/>
      <c r="H1" s="450"/>
      <c r="I1" s="450"/>
      <c r="J1" s="450"/>
      <c r="K1" s="450"/>
      <c r="L1" s="451"/>
      <c r="M1" s="457" t="s">
        <v>1065</v>
      </c>
      <c r="N1" s="458"/>
      <c r="O1" s="459"/>
    </row>
    <row r="2" spans="1:15" s="44" customFormat="1" ht="12.75" customHeight="1" x14ac:dyDescent="0.2">
      <c r="A2" s="484" t="s">
        <v>1109</v>
      </c>
      <c r="B2" s="485"/>
      <c r="C2" s="485"/>
      <c r="D2" s="485"/>
      <c r="E2" s="485"/>
      <c r="F2" s="485"/>
      <c r="G2" s="485"/>
      <c r="H2" s="485"/>
      <c r="I2" s="485"/>
      <c r="J2" s="485"/>
      <c r="K2" s="485"/>
      <c r="L2" s="486"/>
      <c r="M2" s="472" t="s">
        <v>1110</v>
      </c>
      <c r="N2" s="473"/>
      <c r="O2" s="474"/>
    </row>
    <row r="3" spans="1:15" s="44" customFormat="1" x14ac:dyDescent="0.2">
      <c r="A3" s="484"/>
      <c r="B3" s="485"/>
      <c r="C3" s="485"/>
      <c r="D3" s="485"/>
      <c r="E3" s="485"/>
      <c r="F3" s="485"/>
      <c r="G3" s="485"/>
      <c r="H3" s="485"/>
      <c r="I3" s="485"/>
      <c r="J3" s="485"/>
      <c r="K3" s="485"/>
      <c r="L3" s="486"/>
      <c r="M3" s="472"/>
      <c r="N3" s="473"/>
      <c r="O3" s="474"/>
    </row>
    <row r="4" spans="1:15" s="44" customFormat="1" x14ac:dyDescent="0.2">
      <c r="A4" s="484"/>
      <c r="B4" s="485"/>
      <c r="C4" s="485"/>
      <c r="D4" s="485"/>
      <c r="E4" s="485"/>
      <c r="F4" s="485"/>
      <c r="G4" s="485"/>
      <c r="H4" s="485"/>
      <c r="I4" s="485"/>
      <c r="J4" s="485"/>
      <c r="K4" s="485"/>
      <c r="L4" s="486"/>
      <c r="M4" s="472"/>
      <c r="N4" s="473"/>
      <c r="O4" s="474"/>
    </row>
    <row r="5" spans="1:15" s="44" customFormat="1" x14ac:dyDescent="0.2">
      <c r="A5" s="484"/>
      <c r="B5" s="485"/>
      <c r="C5" s="485"/>
      <c r="D5" s="485"/>
      <c r="E5" s="485"/>
      <c r="F5" s="485"/>
      <c r="G5" s="485"/>
      <c r="H5" s="485"/>
      <c r="I5" s="485"/>
      <c r="J5" s="485"/>
      <c r="K5" s="485"/>
      <c r="L5" s="486"/>
      <c r="M5" s="472"/>
      <c r="N5" s="473"/>
      <c r="O5" s="474"/>
    </row>
    <row r="6" spans="1:15" s="44" customFormat="1" x14ac:dyDescent="0.2">
      <c r="A6" s="484"/>
      <c r="B6" s="485"/>
      <c r="C6" s="485"/>
      <c r="D6" s="485"/>
      <c r="E6" s="485"/>
      <c r="F6" s="485"/>
      <c r="G6" s="485"/>
      <c r="H6" s="485"/>
      <c r="I6" s="485"/>
      <c r="J6" s="485"/>
      <c r="K6" s="485"/>
      <c r="L6" s="486"/>
      <c r="M6" s="472"/>
      <c r="N6" s="473"/>
      <c r="O6" s="474"/>
    </row>
    <row r="7" spans="1:15" s="44" customFormat="1" ht="13.5" thickBot="1" x14ac:dyDescent="0.25">
      <c r="A7" s="487"/>
      <c r="B7" s="488"/>
      <c r="C7" s="488"/>
      <c r="D7" s="488"/>
      <c r="E7" s="488"/>
      <c r="F7" s="488"/>
      <c r="G7" s="488"/>
      <c r="H7" s="488"/>
      <c r="I7" s="488"/>
      <c r="J7" s="488"/>
      <c r="K7" s="488"/>
      <c r="L7" s="489"/>
      <c r="M7" s="472"/>
      <c r="N7" s="473"/>
      <c r="O7" s="474"/>
    </row>
    <row r="8" spans="1:15" s="44" customFormat="1" ht="15.75" x14ac:dyDescent="0.2">
      <c r="A8" s="452" t="s">
        <v>456</v>
      </c>
      <c r="B8" s="453"/>
      <c r="C8" s="453"/>
      <c r="D8" s="453"/>
      <c r="E8" s="453"/>
      <c r="F8" s="453"/>
      <c r="G8" s="453"/>
      <c r="H8" s="453"/>
      <c r="I8" s="454"/>
      <c r="J8" s="460" t="s">
        <v>1113</v>
      </c>
      <c r="K8" s="461"/>
      <c r="L8" s="462"/>
      <c r="M8" s="475"/>
      <c r="N8" s="476"/>
      <c r="O8" s="477"/>
    </row>
    <row r="9" spans="1:15" s="44" customFormat="1" ht="12.75" customHeight="1" x14ac:dyDescent="0.2">
      <c r="A9" s="455" t="s">
        <v>1064</v>
      </c>
      <c r="B9" s="456"/>
      <c r="C9" s="456"/>
      <c r="D9" s="456"/>
      <c r="E9" s="456"/>
      <c r="F9" s="456"/>
      <c r="G9" s="456"/>
      <c r="H9" s="456"/>
      <c r="I9" s="456"/>
      <c r="J9" s="463"/>
      <c r="K9" s="464"/>
      <c r="L9" s="465"/>
      <c r="M9" s="475"/>
      <c r="N9" s="476"/>
      <c r="O9" s="477"/>
    </row>
    <row r="10" spans="1:15" s="44" customFormat="1" ht="12.75" customHeight="1" x14ac:dyDescent="0.2">
      <c r="A10" s="455"/>
      <c r="B10" s="456"/>
      <c r="C10" s="456"/>
      <c r="D10" s="456"/>
      <c r="E10" s="456"/>
      <c r="F10" s="456"/>
      <c r="G10" s="456"/>
      <c r="H10" s="456"/>
      <c r="I10" s="456"/>
      <c r="J10" s="463"/>
      <c r="K10" s="464"/>
      <c r="L10" s="465"/>
      <c r="M10" s="475"/>
      <c r="N10" s="476"/>
      <c r="O10" s="477"/>
    </row>
    <row r="11" spans="1:15" s="44" customFormat="1" ht="12.75" customHeight="1" x14ac:dyDescent="0.2">
      <c r="A11" s="455"/>
      <c r="B11" s="456"/>
      <c r="C11" s="456"/>
      <c r="D11" s="456"/>
      <c r="E11" s="456"/>
      <c r="F11" s="456"/>
      <c r="G11" s="456"/>
      <c r="H11" s="456"/>
      <c r="I11" s="456"/>
      <c r="J11" s="463"/>
      <c r="K11" s="464"/>
      <c r="L11" s="465"/>
      <c r="M11" s="475"/>
      <c r="N11" s="476"/>
      <c r="O11" s="477"/>
    </row>
    <row r="12" spans="1:15" s="44" customFormat="1" ht="28.5" customHeight="1" thickBot="1" x14ac:dyDescent="0.25">
      <c r="A12" s="455"/>
      <c r="B12" s="456"/>
      <c r="C12" s="456"/>
      <c r="D12" s="456"/>
      <c r="E12" s="456"/>
      <c r="F12" s="456"/>
      <c r="G12" s="456"/>
      <c r="H12" s="456"/>
      <c r="I12" s="456"/>
      <c r="J12" s="466"/>
      <c r="K12" s="467"/>
      <c r="L12" s="468"/>
      <c r="M12" s="478"/>
      <c r="N12" s="479"/>
      <c r="O12" s="480"/>
    </row>
    <row r="13" spans="1:15" s="44" customFormat="1" ht="25.5" customHeight="1" thickBot="1" x14ac:dyDescent="0.25">
      <c r="A13" s="481" t="s">
        <v>262</v>
      </c>
      <c r="B13" s="482"/>
      <c r="C13" s="483"/>
      <c r="D13" s="483"/>
      <c r="E13" s="483"/>
      <c r="F13" s="483"/>
      <c r="G13" s="483"/>
      <c r="H13" s="483"/>
      <c r="I13" s="483"/>
      <c r="J13" s="483"/>
      <c r="K13" s="483"/>
      <c r="L13" s="483"/>
      <c r="M13" s="483"/>
      <c r="N13" s="483"/>
      <c r="O13" s="483"/>
    </row>
    <row r="14" spans="1:15" s="52" customFormat="1" ht="12.75" customHeight="1" x14ac:dyDescent="0.2">
      <c r="A14" s="45" t="s">
        <v>28</v>
      </c>
      <c r="B14" s="133" t="s">
        <v>89</v>
      </c>
      <c r="C14" s="46"/>
      <c r="D14" s="47" t="s">
        <v>328</v>
      </c>
      <c r="E14" s="47" t="s">
        <v>791</v>
      </c>
      <c r="F14" s="44"/>
      <c r="G14" s="44"/>
      <c r="H14" s="47" t="s">
        <v>494</v>
      </c>
      <c r="I14" s="48" t="s">
        <v>212</v>
      </c>
      <c r="J14" s="49"/>
      <c r="K14" s="50"/>
      <c r="L14" s="44"/>
      <c r="M14" s="44"/>
      <c r="N14" s="44"/>
      <c r="O14" s="51"/>
    </row>
    <row r="15" spans="1:15" s="44" customFormat="1" ht="12.75" customHeight="1" x14ac:dyDescent="0.2">
      <c r="A15" s="45" t="s">
        <v>454</v>
      </c>
      <c r="B15" s="134">
        <v>44871</v>
      </c>
      <c r="D15" s="45" t="s">
        <v>329</v>
      </c>
      <c r="E15" s="53">
        <f>B15+(1+B16-1)/24+B18-0/24</f>
        <v>44871</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35">
        <v>0</v>
      </c>
      <c r="C16" s="44" t="s">
        <v>534</v>
      </c>
      <c r="D16" s="45" t="s">
        <v>322</v>
      </c>
      <c r="E16" s="53">
        <f ca="1">NOW()</f>
        <v>44865.540451157409</v>
      </c>
      <c r="H16" s="45" t="s">
        <v>105</v>
      </c>
      <c r="I16" s="54">
        <f>INDEX(TblRaces[[Max population]:[Explore Cost]],MATCH(race,TblRaces[Race],0),MATCH(Table4[[#This Row],[Race Bonuses]],TblRaces[[#Headers],[Max population]:[Explore Cost]],0))</f>
        <v>0</v>
      </c>
      <c r="K16" s="448" t="s">
        <v>458</v>
      </c>
      <c r="L16" s="447"/>
      <c r="M16" s="447"/>
      <c r="N16" s="447"/>
      <c r="O16" s="51"/>
    </row>
    <row r="17" spans="1:15" s="44" customFormat="1" ht="12.75" customHeight="1" thickBot="1" x14ac:dyDescent="0.25">
      <c r="A17" s="45" t="s">
        <v>326</v>
      </c>
      <c r="B17" s="55">
        <f ca="1">TODAY()</f>
        <v>44865</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47"/>
      <c r="L17" s="447"/>
      <c r="M17" s="447"/>
      <c r="N17" s="447"/>
      <c r="O17" s="51"/>
    </row>
    <row r="18" spans="1:15" s="44" customFormat="1" ht="12.75" customHeight="1" thickBot="1" x14ac:dyDescent="0.25">
      <c r="A18" s="59" t="s">
        <v>508</v>
      </c>
      <c r="B18" s="136">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47"/>
      <c r="L18" s="447"/>
      <c r="M18" s="447"/>
      <c r="N18" s="447"/>
      <c r="O18" s="51"/>
    </row>
    <row r="19" spans="1:15" s="44" customFormat="1" x14ac:dyDescent="0.2">
      <c r="H19" s="45" t="s">
        <v>108</v>
      </c>
      <c r="I19" s="54">
        <f>INDEX(TblRaces[[Max population]:[Explore Cost]],MATCH(race,TblRaces[Race],0),MATCH(Table4[[#This Row],[Race Bonuses]],TblRaces[[#Headers],[Max population]:[Explore Cost]],0))</f>
        <v>0</v>
      </c>
      <c r="J19" s="49"/>
      <c r="K19" s="447"/>
      <c r="L19" s="447"/>
      <c r="M19" s="447"/>
      <c r="N19" s="447"/>
      <c r="O19" s="60"/>
    </row>
    <row r="20" spans="1:15" s="44" customFormat="1" x14ac:dyDescent="0.2">
      <c r="H20" s="45" t="s">
        <v>109</v>
      </c>
      <c r="I20" s="54">
        <f>INDEX(TblRaces[[Max population]:[Explore Cost]],MATCH(race,TblRaces[Race],0),MATCH(Table4[[#This Row],[Race Bonuses]],TblRaces[[#Headers],[Max population]:[Explore Cost]],0))</f>
        <v>0</v>
      </c>
      <c r="J20" s="49"/>
      <c r="K20" s="447"/>
      <c r="L20" s="447"/>
      <c r="M20" s="447"/>
      <c r="N20" s="447"/>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47"/>
      <c r="L21" s="447"/>
      <c r="M21" s="447"/>
      <c r="N21" s="447"/>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48"/>
      <c r="L23" s="448"/>
      <c r="M23" s="448"/>
      <c r="N23" s="448"/>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48"/>
      <c r="L24" s="448"/>
      <c r="M24" s="448"/>
      <c r="N24" s="448"/>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1200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48"/>
      <c r="L25" s="448"/>
      <c r="M25" s="448"/>
      <c r="N25" s="448"/>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48"/>
      <c r="L26" s="448"/>
      <c r="M26" s="448"/>
      <c r="N26" s="448"/>
      <c r="O26" s="60"/>
    </row>
    <row r="27" spans="1:15" s="44" customFormat="1" x14ac:dyDescent="0.2">
      <c r="A27" s="500" t="s">
        <v>1121</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01" t="str">
        <f>_xlfn.IFNA(INDEX(TblRaces[],MATCH(TblUnits[[#This Row],[Unit Names]],TblRaces[Unitname],0),8),"")</f>
        <v xml:space="preserve"> + 1 spy</v>
      </c>
      <c r="F27" s="501">
        <v>5</v>
      </c>
      <c r="H27" s="45" t="s">
        <v>168</v>
      </c>
      <c r="I27" s="54">
        <f>INDEX(TblRaces[[Max population]:[Explore Cost]],MATCH(race,TblRaces[Race],0),MATCH(Table4[[#This Row],[Race Bonuses]],TblRaces[[#Headers],[Max population]:[Explore Cost]],0))</f>
        <v>0</v>
      </c>
      <c r="K27" s="448"/>
      <c r="L27" s="448"/>
      <c r="M27" s="448"/>
      <c r="N27" s="448"/>
      <c r="O27" s="60"/>
    </row>
    <row r="28" spans="1:15" s="44" customFormat="1" x14ac:dyDescent="0.2">
      <c r="A28" s="63" t="s">
        <v>187</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445</v>
      </c>
      <c r="I28" s="54">
        <f>INDEX(TblRaces[[Max population]:[Explore Cost]],MATCH(race,TblRaces[Race],0),MATCH(Table4[[#This Row],[Race Bonuses]],TblRaces[[#Headers],[Max population]:[Explore Cost]],0))</f>
        <v>0</v>
      </c>
      <c r="O28" s="60"/>
    </row>
    <row r="29" spans="1:15" s="44" customFormat="1" x14ac:dyDescent="0.2">
      <c r="A29" s="63" t="s">
        <v>188</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495</v>
      </c>
      <c r="I29" s="54">
        <f>INDEX(TblRaces[[Max population]:[Explore Cost]],MATCH(race,TblRaces[Race],0),MATCH(Table4[[#This Row],[Race Bonuses]],TblRaces[[#Headers],[Max population]:[Explore Cost]],0))</f>
        <v>0</v>
      </c>
      <c r="O29" s="60"/>
    </row>
    <row r="30" spans="1:15" s="44" customFormat="1" x14ac:dyDescent="0.2">
      <c r="A30" s="66" t="s">
        <v>1103</v>
      </c>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1095</v>
      </c>
      <c r="I32" s="438">
        <f>INDEX(TblRaces[[Max population]:[Explore Cost]],MATCH(race,TblRaces[Race],0),MATCH(Table4[[#This Row],[Race Bonuses]],TblRaces[[#Headers],[Max population]:[Explore Cost]],0))</f>
        <v>0</v>
      </c>
      <c r="J32" s="70"/>
      <c r="O32" s="75"/>
    </row>
    <row r="33" spans="1:15" s="76" customFormat="1" ht="29.25" customHeight="1" x14ac:dyDescent="0.2">
      <c r="A33" s="469" t="s">
        <v>383</v>
      </c>
      <c r="B33" s="447"/>
      <c r="C33" s="447"/>
      <c r="D33" s="447"/>
      <c r="E33" s="447"/>
      <c r="F33" s="447"/>
      <c r="G33" s="447"/>
      <c r="H33" s="447"/>
      <c r="I33" s="447"/>
      <c r="J33" s="470"/>
      <c r="K33" s="471"/>
      <c r="L33" s="471"/>
      <c r="M33" s="471"/>
      <c r="N33" s="471"/>
      <c r="O33" s="471"/>
    </row>
    <row r="34" spans="1:15" x14ac:dyDescent="0.2">
      <c r="A34" s="5" t="s">
        <v>22</v>
      </c>
      <c r="B34" s="45" t="s">
        <v>360</v>
      </c>
      <c r="C34" s="77" t="s">
        <v>31</v>
      </c>
      <c r="D34" s="78" t="s">
        <v>212</v>
      </c>
      <c r="E34" s="79" t="s">
        <v>1036</v>
      </c>
      <c r="F34" s="77" t="s">
        <v>32</v>
      </c>
      <c r="G34" s="78" t="s">
        <v>1034</v>
      </c>
      <c r="H34" s="78" t="s">
        <v>1035</v>
      </c>
      <c r="I34" s="80" t="s">
        <v>791</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45" t="s">
        <v>435</v>
      </c>
      <c r="L36" s="446"/>
      <c r="M36" s="446"/>
      <c r="N36" s="446"/>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46"/>
      <c r="L37" s="446"/>
      <c r="M37" s="446"/>
      <c r="N37" s="446"/>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46"/>
      <c r="L38" s="446"/>
      <c r="M38" s="446"/>
      <c r="N38" s="446"/>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48" t="s">
        <v>455</v>
      </c>
      <c r="L39" s="449"/>
      <c r="M39" s="449"/>
      <c r="N39" s="449"/>
      <c r="O39" s="51"/>
    </row>
    <row r="40" spans="1:15" ht="13.5" thickTop="1" x14ac:dyDescent="0.2">
      <c r="A40" s="101"/>
      <c r="B40" s="88"/>
      <c r="C40" s="102">
        <f ca="1">SUM(C36:C39)</f>
        <v>0</v>
      </c>
      <c r="E40" s="103">
        <f ca="1">SUM(E36:E39)</f>
        <v>0</v>
      </c>
      <c r="F40" s="35">
        <f ca="1">SUM(F36:F39)</f>
        <v>450</v>
      </c>
      <c r="H40" s="35">
        <f ca="1">SUM(H36:H39)</f>
        <v>450</v>
      </c>
      <c r="I40" s="84"/>
      <c r="J40" s="44"/>
      <c r="K40" s="449"/>
      <c r="L40" s="449"/>
      <c r="M40" s="449"/>
      <c r="N40" s="449"/>
      <c r="O40" s="51"/>
    </row>
    <row r="41" spans="1:15" x14ac:dyDescent="0.2">
      <c r="A41" s="104" t="s">
        <v>24</v>
      </c>
      <c r="B41" s="97">
        <f ca="1">F41</f>
        <v>100</v>
      </c>
      <c r="C41" s="104"/>
      <c r="E41" s="105"/>
      <c r="F41" s="97">
        <f ca="1">Military!AA76</f>
        <v>100</v>
      </c>
      <c r="H41" s="97">
        <f ca="1">F41*(1+$G$36)</f>
        <v>100</v>
      </c>
      <c r="I41" s="92" t="s">
        <v>426</v>
      </c>
      <c r="J41" s="44"/>
      <c r="K41" s="445" t="s">
        <v>453</v>
      </c>
      <c r="L41" s="446"/>
      <c r="M41" s="446"/>
      <c r="N41" s="446"/>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46"/>
      <c r="L42" s="446"/>
      <c r="M42" s="446"/>
      <c r="N42" s="446"/>
      <c r="O42" s="51"/>
    </row>
    <row r="43" spans="1:15" ht="13.5" thickTop="1" x14ac:dyDescent="0.2">
      <c r="C43" s="104"/>
      <c r="E43" s="105"/>
      <c r="F43" s="35">
        <f ca="1">F41+F40+F42</f>
        <v>550</v>
      </c>
      <c r="H43" s="103">
        <f ca="1">H41+H40+H42</f>
        <v>550</v>
      </c>
      <c r="I43" s="92"/>
      <c r="J43" s="44"/>
      <c r="K43" s="447"/>
      <c r="L43" s="447"/>
      <c r="M43" s="447"/>
      <c r="N43" s="447"/>
      <c r="O43" s="51"/>
    </row>
    <row r="44" spans="1:15" x14ac:dyDescent="0.2">
      <c r="A44" s="44"/>
      <c r="B44" s="44"/>
      <c r="C44" s="44"/>
      <c r="D44" s="444"/>
      <c r="E44" s="444"/>
      <c r="F44" s="444"/>
      <c r="G44" s="444"/>
      <c r="H44" s="444"/>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506" t="s">
        <v>1121</v>
      </c>
      <c r="B46" s="503">
        <f ca="1">Military!J76</f>
        <v>0</v>
      </c>
      <c r="C46" s="44"/>
      <c r="D46" s="5" t="s">
        <v>258</v>
      </c>
      <c r="E46" s="57" t="s">
        <v>360</v>
      </c>
      <c r="F46" s="45" t="s">
        <v>1037</v>
      </c>
      <c r="G46" s="44"/>
      <c r="H46" s="50" t="s">
        <v>260</v>
      </c>
      <c r="I46" s="44"/>
      <c r="J46" s="44"/>
      <c r="K46" s="44"/>
      <c r="L46" s="44"/>
      <c r="M46" s="44"/>
      <c r="N46" s="44"/>
      <c r="O46" s="51"/>
    </row>
    <row r="47" spans="1:15" x14ac:dyDescent="0.2">
      <c r="A47" s="504" t="str">
        <f>A28</f>
        <v>Wizard</v>
      </c>
      <c r="B47" s="505">
        <f ca="1">Military!K76</f>
        <v>25</v>
      </c>
      <c r="C47" s="44"/>
      <c r="D47" s="47" t="s">
        <v>1</v>
      </c>
      <c r="E47" s="47">
        <f ca="1">Construction!BT76</f>
        <v>250</v>
      </c>
      <c r="F47" s="109">
        <v>1</v>
      </c>
      <c r="G47" s="44"/>
      <c r="H47" s="45" t="s">
        <v>261</v>
      </c>
      <c r="I47" s="110" t="s">
        <v>194</v>
      </c>
      <c r="J47" s="57" t="s">
        <v>233</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255</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256</v>
      </c>
      <c r="I49" s="114">
        <f ca="1">F40/E47</f>
        <v>1.8</v>
      </c>
      <c r="J49" s="114">
        <f ca="1">H40/E47</f>
        <v>1.8</v>
      </c>
      <c r="K49" s="44"/>
      <c r="L49" s="44"/>
      <c r="M49" s="44"/>
      <c r="N49" s="44"/>
      <c r="O49" s="51"/>
    </row>
    <row r="50" spans="1:15" x14ac:dyDescent="0.2">
      <c r="A50" s="108" t="s">
        <v>273</v>
      </c>
      <c r="B50" s="429">
        <f ca="1">Production!N76*(boat_size + tech_6_3_3*Techs!BH76)</f>
        <v>0</v>
      </c>
      <c r="C50" s="44"/>
      <c r="D50" s="111" t="str">
        <f>Construction!BA3</f>
        <v>Tot Farm</v>
      </c>
      <c r="E50" s="45">
        <f ca="1">Construction!BA76</f>
        <v>30</v>
      </c>
      <c r="F50" s="113">
        <f ca="1">E50/$E$47</f>
        <v>0.12</v>
      </c>
      <c r="G50" s="44"/>
      <c r="H50" s="45" t="s">
        <v>257</v>
      </c>
      <c r="I50" s="114">
        <f ca="1">(B45 + B46*2 + B38*D90*E90 + B38*D91*E91)/E47</f>
        <v>0.1</v>
      </c>
      <c r="J50" s="114">
        <f ca="1">I50*(1+I26)</f>
        <v>0.1</v>
      </c>
      <c r="K50" s="44"/>
      <c r="L50" s="44"/>
      <c r="M50" s="44"/>
      <c r="N50" s="44"/>
      <c r="O50" s="51"/>
    </row>
    <row r="51" spans="1:15" x14ac:dyDescent="0.2">
      <c r="A51" s="115" t="s">
        <v>382</v>
      </c>
      <c r="B51" s="430">
        <f>SUM(Imps!M4:'Imps'!M76)</f>
        <v>0</v>
      </c>
      <c r="C51" s="44"/>
      <c r="D51" s="111" t="str">
        <f>Construction!BB3</f>
        <v>Tot Smi</v>
      </c>
      <c r="E51" s="45">
        <f ca="1">Construction!BB76</f>
        <v>0</v>
      </c>
      <c r="F51" s="113">
        <f t="shared" ref="F51:F66" ca="1" si="0">E51/$E$47</f>
        <v>0</v>
      </c>
      <c r="G51" s="44"/>
      <c r="H51" s="45" t="s">
        <v>259</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2038</v>
      </c>
      <c r="C54" s="44"/>
      <c r="D54" s="111" t="str">
        <f>Construction!BE3</f>
        <v>Tot Hav</v>
      </c>
      <c r="E54" s="45">
        <f ca="1">Construction!BE76</f>
        <v>0</v>
      </c>
      <c r="F54" s="113">
        <f t="shared" ca="1" si="0"/>
        <v>0</v>
      </c>
      <c r="G54" s="44"/>
      <c r="H54" s="45" t="s">
        <v>0</v>
      </c>
      <c r="I54" s="104" t="s">
        <v>222</v>
      </c>
      <c r="J54" s="45" t="s">
        <v>390</v>
      </c>
      <c r="K54" s="44"/>
      <c r="L54" s="44"/>
      <c r="M54" s="44"/>
      <c r="N54" s="44"/>
      <c r="O54" s="51"/>
    </row>
    <row r="55" spans="1:15" x14ac:dyDescent="0.2">
      <c r="A55" s="118" t="s">
        <v>24</v>
      </c>
      <c r="B55" s="428">
        <f ca="1">B41</f>
        <v>100</v>
      </c>
      <c r="C55" s="44"/>
      <c r="D55" s="111" t="str">
        <f>Construction!BF3</f>
        <v>Tot OM</v>
      </c>
      <c r="E55" s="45">
        <f ca="1">Construction!BF76</f>
        <v>0</v>
      </c>
      <c r="F55" s="113">
        <f t="shared" ca="1" si="0"/>
        <v>0</v>
      </c>
      <c r="G55" s="44"/>
      <c r="H55" s="119">
        <v>61</v>
      </c>
      <c r="I55" s="62">
        <f ca="1">Production!H64</f>
        <v>435321</v>
      </c>
      <c r="J55" s="62">
        <f ca="1">Production!H64+SUM(Military!AR4:AR64)</f>
        <v>435321</v>
      </c>
      <c r="K55" s="44"/>
      <c r="L55" s="44"/>
      <c r="M55" s="44"/>
      <c r="N55" s="44"/>
      <c r="O55" s="51"/>
    </row>
    <row r="56" spans="1:15" x14ac:dyDescent="0.2">
      <c r="A56" s="117" t="s">
        <v>236</v>
      </c>
      <c r="B56" s="427">
        <f ca="1">Production!G76</f>
        <v>6450</v>
      </c>
      <c r="C56" s="44"/>
      <c r="D56" s="111" t="str">
        <f>Construction!BG3</f>
        <v>Tot GN</v>
      </c>
      <c r="E56" s="45">
        <f ca="1">Construction!BG76</f>
        <v>0</v>
      </c>
      <c r="F56" s="113">
        <f t="shared" ca="1" si="0"/>
        <v>0</v>
      </c>
      <c r="G56" s="44"/>
      <c r="H56" s="119">
        <v>64</v>
      </c>
      <c r="I56" s="62">
        <f ca="1">Production!H67</f>
        <v>452331</v>
      </c>
      <c r="J56" s="62">
        <f ca="1">Production!H67+SUM(Military!AR5:AR67)</f>
        <v>452331</v>
      </c>
      <c r="K56" s="120"/>
      <c r="L56" s="44"/>
      <c r="M56" s="44"/>
      <c r="N56" s="44"/>
      <c r="O56" s="51"/>
    </row>
    <row r="57" spans="1:15" x14ac:dyDescent="0.2">
      <c r="A57" s="118" t="s">
        <v>272</v>
      </c>
      <c r="B57" s="428">
        <f ca="1">H40</f>
        <v>450</v>
      </c>
      <c r="C57" s="44"/>
      <c r="D57" s="111" t="str">
        <f>Construction!BJ3</f>
        <v>Tot Bar</v>
      </c>
      <c r="E57" s="45">
        <f ca="1">Construction!BJ76</f>
        <v>0</v>
      </c>
      <c r="F57" s="113">
        <f t="shared" ca="1" si="0"/>
        <v>0</v>
      </c>
      <c r="G57" s="44"/>
      <c r="H57" s="119" t="s">
        <v>235</v>
      </c>
      <c r="I57" s="62">
        <f ca="1">Production!H76</f>
        <v>503361</v>
      </c>
      <c r="J57" s="62">
        <f ca="1">Production!H76+SUM(Military!AR4:AR76)</f>
        <v>503361</v>
      </c>
      <c r="K57" s="120"/>
      <c r="L57" s="44"/>
      <c r="M57" s="44"/>
      <c r="N57" s="44"/>
      <c r="O57" s="51"/>
    </row>
    <row r="58" spans="1:15" x14ac:dyDescent="0.2">
      <c r="A58" s="117" t="s">
        <v>271</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5670</v>
      </c>
      <c r="C59" s="44"/>
      <c r="D59" s="111" t="str">
        <f>Construction!BI3</f>
        <v>Tot GT</v>
      </c>
      <c r="E59" s="45">
        <f ca="1">Construction!BI76</f>
        <v>0</v>
      </c>
      <c r="F59" s="113">
        <f t="shared" ca="1" si="0"/>
        <v>0</v>
      </c>
      <c r="G59" s="44"/>
      <c r="H59" s="50" t="s">
        <v>282</v>
      </c>
      <c r="I59" s="44"/>
      <c r="J59" s="44"/>
      <c r="K59" s="44"/>
      <c r="L59" s="44"/>
      <c r="M59" s="44"/>
      <c r="N59" s="44"/>
      <c r="O59" s="51"/>
    </row>
    <row r="60" spans="1:15" x14ac:dyDescent="0.2">
      <c r="A60" s="117" t="s">
        <v>2</v>
      </c>
      <c r="B60" s="427">
        <f ca="1">Production!H$76</f>
        <v>503361</v>
      </c>
      <c r="C60" s="44"/>
      <c r="D60" s="111" t="str">
        <f>Construction!BK3</f>
        <v>Tot Shr</v>
      </c>
      <c r="E60" s="45">
        <f ca="1">Construction!BK76</f>
        <v>0</v>
      </c>
      <c r="F60" s="113">
        <f t="shared" ca="1" si="0"/>
        <v>0</v>
      </c>
      <c r="G60" s="44"/>
      <c r="H60" s="45" t="s">
        <v>283</v>
      </c>
      <c r="I60" s="95" t="s">
        <v>222</v>
      </c>
      <c r="J60" s="121" t="s">
        <v>389</v>
      </c>
      <c r="K60" s="44"/>
      <c r="L60" s="44"/>
      <c r="M60" s="44"/>
      <c r="N60" s="44"/>
      <c r="O60" s="51"/>
    </row>
    <row r="61" spans="1:15" x14ac:dyDescent="0.2">
      <c r="A61" s="118" t="s">
        <v>5</v>
      </c>
      <c r="B61" s="428">
        <f ca="1">Production!I$76</f>
        <v>111301</v>
      </c>
      <c r="C61" s="44"/>
      <c r="D61" s="111" t="str">
        <f>Construction!BL3</f>
        <v>Tot Tow</v>
      </c>
      <c r="E61" s="45">
        <f ca="1">Construction!BL76</f>
        <v>0</v>
      </c>
      <c r="F61" s="113">
        <f t="shared" ca="1" si="0"/>
        <v>0</v>
      </c>
      <c r="G61" s="44"/>
      <c r="H61" s="45" t="s">
        <v>284</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285</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196</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286</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192</v>
      </c>
      <c r="I66" s="97">
        <f ca="1">SUBTOTAL(109,Table18[Amount])</f>
        <v>0</v>
      </c>
      <c r="J66" s="342">
        <f>1</f>
        <v>1</v>
      </c>
      <c r="K66" s="44"/>
      <c r="L66" s="44"/>
      <c r="M66" s="44"/>
      <c r="N66" s="44"/>
      <c r="O66" s="51"/>
    </row>
    <row r="67" spans="1:15" x14ac:dyDescent="0.2">
      <c r="A67" s="118" t="s">
        <v>280</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281</v>
      </c>
      <c r="B68" s="427">
        <f>Construction!D76</f>
        <v>0</v>
      </c>
      <c r="C68" s="44"/>
      <c r="D68" s="5" t="s">
        <v>364</v>
      </c>
      <c r="E68" s="35">
        <f ca="1">E47-SUM(E48:E66)-B68</f>
        <v>160</v>
      </c>
      <c r="F68" s="126">
        <f ca="1">E68/E47</f>
        <v>0.64</v>
      </c>
      <c r="G68" s="44"/>
      <c r="H68" s="44"/>
      <c r="I68" s="44"/>
      <c r="J68" s="44"/>
      <c r="K68" s="44"/>
      <c r="L68" s="44"/>
      <c r="M68" s="44"/>
      <c r="N68" s="44"/>
      <c r="O68" s="51"/>
    </row>
    <row r="69" spans="1:15" x14ac:dyDescent="0.2">
      <c r="A69" s="124" t="s">
        <v>386</v>
      </c>
      <c r="B69" s="125" t="str">
        <f>VLOOKUP($B$14,Races!$A$4:$B$112,2,FALSE)</f>
        <v>Good</v>
      </c>
      <c r="C69" s="44"/>
      <c r="D69" s="5" t="s">
        <v>365</v>
      </c>
      <c r="E69" s="35">
        <f>B68</f>
        <v>0</v>
      </c>
      <c r="F69" s="5">
        <f ca="1">E69/E47</f>
        <v>0</v>
      </c>
      <c r="G69" s="44"/>
      <c r="H69" s="44"/>
      <c r="I69" s="44"/>
      <c r="J69" s="44"/>
      <c r="K69" s="44"/>
      <c r="L69" s="44"/>
      <c r="M69" s="44"/>
      <c r="N69" s="44"/>
      <c r="O69" s="51"/>
    </row>
    <row r="70" spans="1:15" x14ac:dyDescent="0.2">
      <c r="A70" s="124" t="s">
        <v>385</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2" t="s">
        <v>293</v>
      </c>
      <c r="B73" s="443"/>
      <c r="C73" s="127"/>
      <c r="D73" s="127"/>
      <c r="E73" s="127"/>
    </row>
    <row r="74" spans="1:15" x14ac:dyDescent="0.2">
      <c r="A74" s="128" t="s">
        <v>294</v>
      </c>
      <c r="B74" s="129"/>
      <c r="C74" s="127"/>
      <c r="D74" s="127"/>
      <c r="E74" s="129"/>
    </row>
    <row r="75" spans="1:15" x14ac:dyDescent="0.2">
      <c r="A75" s="130" t="s">
        <v>296</v>
      </c>
      <c r="B75" s="130" t="s">
        <v>297</v>
      </c>
      <c r="C75" s="130" t="s">
        <v>299</v>
      </c>
      <c r="D75" s="130" t="s">
        <v>298</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335</v>
      </c>
      <c r="B81" s="127" t="s">
        <v>338</v>
      </c>
      <c r="C81" s="127"/>
      <c r="D81" s="131">
        <f ca="1">MIN(Constants!F122,F67/Constants!C122)</f>
        <v>2.1999999999999997</v>
      </c>
      <c r="E81" s="127" t="b">
        <f>$B$14=A81</f>
        <v>0</v>
      </c>
    </row>
    <row r="82" spans="1:5" x14ac:dyDescent="0.2">
      <c r="A82" s="127"/>
      <c r="B82" s="127" t="s">
        <v>339</v>
      </c>
      <c r="C82" s="127">
        <f ca="1">MIN(Constants!F123,I51*Constants!C123)</f>
        <v>0.1</v>
      </c>
      <c r="D82" s="127"/>
      <c r="E82" s="127"/>
    </row>
    <row r="83" spans="1:5" x14ac:dyDescent="0.2">
      <c r="A83" s="127" t="s">
        <v>145</v>
      </c>
      <c r="B83" s="127" t="s">
        <v>381</v>
      </c>
      <c r="C83" s="127"/>
      <c r="D83" s="131">
        <f>MIN(Constants!F124,250/Constants!C124)</f>
        <v>0</v>
      </c>
      <c r="E83" s="127" t="b">
        <f>$B$14=A83</f>
        <v>0</v>
      </c>
    </row>
    <row r="84" spans="1:5" x14ac:dyDescent="0.2">
      <c r="A84" s="127" t="s">
        <v>145</v>
      </c>
      <c r="B84" s="127" t="s">
        <v>363</v>
      </c>
      <c r="C84" s="132">
        <f>MIN(bone_breaker_cap,250/bone_breaker_bonus)</f>
        <v>1</v>
      </c>
      <c r="E84" s="127" t="b">
        <f>$B$14=A84</f>
        <v>0</v>
      </c>
    </row>
    <row r="85" spans="1:5" x14ac:dyDescent="0.2">
      <c r="A85" s="127" t="s">
        <v>507</v>
      </c>
      <c r="B85" s="127" t="s">
        <v>430</v>
      </c>
      <c r="C85" s="127"/>
      <c r="D85" s="131">
        <f ca="1">MIN(nox_nightshade_cap,E67/E47/nox_nightshade_swamp_bonus)</f>
        <v>3</v>
      </c>
      <c r="E85" s="127" t="b">
        <f>$B$14=A85</f>
        <v>0</v>
      </c>
    </row>
    <row r="86" spans="1:5" x14ac:dyDescent="0.2">
      <c r="A86" s="127"/>
      <c r="B86" s="127"/>
      <c r="C86" s="127"/>
      <c r="D86" s="131"/>
      <c r="E86" s="127"/>
    </row>
    <row r="87" spans="1:5" x14ac:dyDescent="0.2">
      <c r="A87" s="128" t="s">
        <v>295</v>
      </c>
      <c r="B87" s="127"/>
      <c r="C87" s="127"/>
      <c r="D87" s="127"/>
      <c r="E87" s="127"/>
    </row>
    <row r="88" spans="1:5" x14ac:dyDescent="0.2">
      <c r="A88" s="127" t="s">
        <v>103</v>
      </c>
      <c r="B88" s="127" t="s">
        <v>333</v>
      </c>
      <c r="C88" s="127"/>
      <c r="D88" s="127">
        <f ca="1">MIN(B38,B39)*2</f>
        <v>0</v>
      </c>
      <c r="E88" s="127" t="b">
        <f>$B$14=A88</f>
        <v>0</v>
      </c>
    </row>
    <row r="89" spans="1:5" x14ac:dyDescent="0.2">
      <c r="A89" s="127"/>
      <c r="B89" s="127" t="s">
        <v>334</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164</v>
      </c>
      <c r="C91" s="441">
        <v>0.2</v>
      </c>
      <c r="D91" s="441">
        <v>0.2</v>
      </c>
      <c r="E91" s="127" t="b">
        <f t="shared" si="1"/>
        <v>0</v>
      </c>
    </row>
    <row r="92" spans="1:5" x14ac:dyDescent="0.2">
      <c r="A92" s="127" t="s">
        <v>96</v>
      </c>
      <c r="B92" s="127" t="s">
        <v>141</v>
      </c>
      <c r="C92" s="441">
        <v>0.25</v>
      </c>
      <c r="D92" s="441">
        <v>0.25</v>
      </c>
      <c r="E92" s="127" t="b">
        <f t="shared" si="1"/>
        <v>0</v>
      </c>
    </row>
    <row r="93" spans="1:5" x14ac:dyDescent="0.2">
      <c r="A93" s="127" t="s">
        <v>99</v>
      </c>
      <c r="B93" s="127" t="s">
        <v>149</v>
      </c>
      <c r="C93" s="441">
        <v>0.25</v>
      </c>
      <c r="D93" s="441">
        <v>0.25</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77" priority="3" stopIfTrue="1">
      <formula>$D$44&lt;&gt;""</formula>
    </cfRule>
  </conditionalFormatting>
  <conditionalFormatting sqref="E18">
    <cfRule type="cellIs" dxfId="76" priority="4" stopIfTrue="1" operator="equal">
      <formula>"""Yes"""</formula>
    </cfRule>
    <cfRule type="expression" dxfId="75" priority="5" stopIfTrue="1">
      <formula>ISERROR(E18)</formula>
    </cfRule>
  </conditionalFormatting>
  <conditionalFormatting sqref="E17">
    <cfRule type="cellIs" dxfId="74" priority="6" stopIfTrue="1" operator="lessThan">
      <formula>1</formula>
    </cfRule>
  </conditionalFormatting>
  <conditionalFormatting sqref="A30">
    <cfRule type="expression" dxfId="73" priority="1">
      <formula>$B$14&lt;&gt;"Dark Elf"</formula>
    </cfRule>
    <cfRule type="expression" dxfId="7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1" t="s">
        <v>23</v>
      </c>
      <c r="D1" s="491"/>
      <c r="E1" s="491"/>
      <c r="F1" s="491"/>
      <c r="G1" s="491"/>
      <c r="H1" s="491"/>
      <c r="I1" s="491"/>
      <c r="J1" s="28"/>
      <c r="K1" s="28"/>
      <c r="L1" s="491" t="s">
        <v>22</v>
      </c>
      <c r="M1" s="491"/>
      <c r="N1" s="491"/>
      <c r="O1" s="491"/>
      <c r="P1" s="491"/>
      <c r="Q1" s="491"/>
      <c r="R1" s="491"/>
      <c r="S1" s="491"/>
      <c r="U1" s="491" t="s">
        <v>169</v>
      </c>
      <c r="V1" s="492"/>
      <c r="W1" s="491" t="s">
        <v>173</v>
      </c>
      <c r="X1" s="491"/>
      <c r="Y1" s="491"/>
      <c r="Z1" s="491"/>
      <c r="AA1" s="491" t="s">
        <v>178</v>
      </c>
      <c r="AB1" s="492"/>
      <c r="AC1" s="492"/>
      <c r="AD1" s="492"/>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316</v>
      </c>
      <c r="C3" s="138" t="s">
        <v>21</v>
      </c>
      <c r="D3" s="138" t="s">
        <v>22</v>
      </c>
      <c r="E3" s="138" t="s">
        <v>24</v>
      </c>
      <c r="F3" s="138" t="s">
        <v>192</v>
      </c>
      <c r="G3" s="138" t="s">
        <v>193</v>
      </c>
      <c r="H3" s="138" t="s">
        <v>230</v>
      </c>
      <c r="I3" s="138" t="s">
        <v>270</v>
      </c>
      <c r="J3" s="138" t="s">
        <v>318</v>
      </c>
      <c r="K3" s="138" t="s">
        <v>791</v>
      </c>
      <c r="L3" s="138" t="s">
        <v>1038</v>
      </c>
      <c r="M3" s="138" t="s">
        <v>787</v>
      </c>
      <c r="N3" s="138" t="s">
        <v>788</v>
      </c>
      <c r="O3" s="138" t="s">
        <v>789</v>
      </c>
      <c r="P3" s="138" t="s">
        <v>790</v>
      </c>
      <c r="Q3" s="138" t="s">
        <v>25</v>
      </c>
      <c r="R3" s="138" t="s">
        <v>26</v>
      </c>
      <c r="S3" s="138" t="s">
        <v>188</v>
      </c>
      <c r="T3" s="138" t="s">
        <v>792</v>
      </c>
      <c r="U3" s="138" t="s">
        <v>232</v>
      </c>
      <c r="V3" s="138" t="s">
        <v>180</v>
      </c>
      <c r="W3" s="138" t="s">
        <v>179</v>
      </c>
      <c r="X3" s="138" t="s">
        <v>238</v>
      </c>
      <c r="Y3" s="138" t="s">
        <v>231</v>
      </c>
      <c r="Z3" s="138" t="s">
        <v>1055</v>
      </c>
      <c r="AA3" s="138" t="s">
        <v>794</v>
      </c>
      <c r="AB3" s="138" t="s">
        <v>173</v>
      </c>
      <c r="AC3" s="138" t="s">
        <v>177</v>
      </c>
    </row>
    <row r="4" spans="1:30" x14ac:dyDescent="0.2">
      <c r="A4" s="140">
        <f>TblRezone[[#This Row],[Hour]]</f>
        <v>1</v>
      </c>
      <c r="B4" s="141">
        <f>TblImps[[#This Row],[Time]]</f>
        <v>44871</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44871.041666666664</v>
      </c>
      <c r="C5" s="97">
        <f ca="1">OFFSET(TblPop[[#This Row],[Peasants]],-1,0)+OFFSET(TblPop[[#This Row],[Net Peasant]],-1,0)+TblMili[[#This Row],[Release Draft]]</f>
        <v>1326</v>
      </c>
      <c r="D5" s="97">
        <f ca="1">TblMili[[#This Row],[Military]]</f>
        <v>300</v>
      </c>
      <c r="E5" s="97">
        <f ca="1">TblMili[[#This Row],[Draftees]]</f>
        <v>100</v>
      </c>
      <c r="F5" s="97">
        <f ca="1">TblPop[[#This Row],[Peasants]]+TblPop[[#This Row],[Military]]</f>
        <v>1626</v>
      </c>
      <c r="G5" s="142">
        <f ca="1">TblPop[[#This Row],[Military]]/TblPop[[#This Row],[Total]]</f>
        <v>0.18450184501845018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100</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44871.083333333328</v>
      </c>
      <c r="C6" s="97">
        <f ca="1">OFFSET(TblPop[[#This Row],[Peasants]],-1,0)+OFFSET(TblPop[[#This Row],[Net Peasant]],-1,0)+TblMili[[#This Row],[Release Draft]]</f>
        <v>1352</v>
      </c>
      <c r="D6" s="97">
        <f ca="1">TblMili[[#This Row],[Military]]</f>
        <v>300</v>
      </c>
      <c r="E6" s="97">
        <f ca="1">TblMili[[#This Row],[Draftees]]</f>
        <v>100</v>
      </c>
      <c r="F6" s="97">
        <f ca="1">TblPop[[#This Row],[Peasants]]+TblPop[[#This Row],[Military]]</f>
        <v>1652</v>
      </c>
      <c r="G6" s="142">
        <f ca="1">TblPop[[#This Row],[Military]]/TblPop[[#This Row],[Total]]</f>
        <v>0.18159806295399517</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100</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44871.124999999993</v>
      </c>
      <c r="C7" s="97">
        <f ca="1">OFFSET(TblPop[[#This Row],[Peasants]],-1,0)+OFFSET(TblPop[[#This Row],[Net Peasant]],-1,0)+TblMili[[#This Row],[Release Draft]]</f>
        <v>1378</v>
      </c>
      <c r="D7" s="97">
        <f ca="1">TblMili[[#This Row],[Military]]</f>
        <v>300</v>
      </c>
      <c r="E7" s="97">
        <f ca="1">TblMili[[#This Row],[Draftees]]</f>
        <v>100</v>
      </c>
      <c r="F7" s="97">
        <f ca="1">TblPop[[#This Row],[Peasants]]+TblPop[[#This Row],[Military]]</f>
        <v>1678</v>
      </c>
      <c r="G7" s="142">
        <f ca="1">TblPop[[#This Row],[Military]]/TblPop[[#This Row],[Total]]</f>
        <v>0.17878426698450536</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100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44871.166666666657</v>
      </c>
      <c r="C8" s="97">
        <f ca="1">OFFSET(TblPop[[#This Row],[Peasants]],-1,0)+OFFSET(TblPop[[#This Row],[Net Peasant]],-1,0)+TblMili[[#This Row],[Release Draft]]</f>
        <v>1405</v>
      </c>
      <c r="D8" s="97">
        <f ca="1">TblMili[[#This Row],[Military]]</f>
        <v>300</v>
      </c>
      <c r="E8" s="97">
        <f ca="1">TblMili[[#This Row],[Draftees]]</f>
        <v>100</v>
      </c>
      <c r="F8" s="97">
        <f ca="1">TblPop[[#This Row],[Peasants]]+TblPop[[#This Row],[Military]]</f>
        <v>1705</v>
      </c>
      <c r="G8" s="142">
        <f ca="1">TblPop[[#This Row],[Military]]/TblPop[[#This Row],[Total]]</f>
        <v>0.17595307917888564</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100</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44871.208333333321</v>
      </c>
      <c r="C9" s="97">
        <f ca="1">OFFSET(TblPop[[#This Row],[Peasants]],-1,0)+OFFSET(TblPop[[#This Row],[Net Peasant]],-1,0)+TblMili[[#This Row],[Release Draft]]</f>
        <v>1433</v>
      </c>
      <c r="D9" s="97">
        <f ca="1">TblMili[[#This Row],[Military]]</f>
        <v>300</v>
      </c>
      <c r="E9" s="97">
        <f ca="1">TblMili[[#This Row],[Draftees]]</f>
        <v>100</v>
      </c>
      <c r="F9" s="97">
        <f ca="1">TblPop[[#This Row],[Peasants]]+TblPop[[#This Row],[Military]]</f>
        <v>1733</v>
      </c>
      <c r="G9" s="142">
        <f ca="1">TblPop[[#This Row],[Military]]/TblPop[[#This Row],[Total]]</f>
        <v>0.17311021350259664</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100</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44871.249999999985</v>
      </c>
      <c r="C10" s="97">
        <f ca="1">OFFSET(TblPop[[#This Row],[Peasants]],-1,0)+OFFSET(TblPop[[#This Row],[Net Peasant]],-1,0)+TblMili[[#This Row],[Release Draft]]</f>
        <v>1462</v>
      </c>
      <c r="D10" s="97">
        <f ca="1">TblMili[[#This Row],[Military]]</f>
        <v>300</v>
      </c>
      <c r="E10" s="97">
        <f ca="1">TblMili[[#This Row],[Draftees]]</f>
        <v>100</v>
      </c>
      <c r="F10" s="97">
        <f ca="1">TblPop[[#This Row],[Peasants]]+TblPop[[#This Row],[Military]]</f>
        <v>1762</v>
      </c>
      <c r="G10" s="142">
        <f ca="1">TblPop[[#This Row],[Military]]/TblPop[[#This Row],[Total]]</f>
        <v>0.170261066969353</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100</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44871.29166666665</v>
      </c>
      <c r="C11" s="97">
        <f ca="1">OFFSET(TblPop[[#This Row],[Peasants]],-1,0)+OFFSET(TblPop[[#This Row],[Net Peasant]],-1,0)+TblMili[[#This Row],[Release Draft]]</f>
        <v>1490</v>
      </c>
      <c r="D11" s="97">
        <f ca="1">TblMili[[#This Row],[Military]]</f>
        <v>300</v>
      </c>
      <c r="E11" s="97">
        <f ca="1">TblMili[[#This Row],[Draftees]]</f>
        <v>100</v>
      </c>
      <c r="F11" s="97">
        <f ca="1">TblPop[[#This Row],[Peasants]]+TblPop[[#This Row],[Military]]</f>
        <v>1790</v>
      </c>
      <c r="G11" s="142">
        <f ca="1">TblPop[[#This Row],[Military]]/TblPop[[#This Row],[Total]]</f>
        <v>0.16759776536312848</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100</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44871.333333333314</v>
      </c>
      <c r="C12" s="97">
        <f ca="1">OFFSET(TblPop[[#This Row],[Peasants]],-1,0)+OFFSET(TblPop[[#This Row],[Net Peasant]],-1,0)+TblMili[[#This Row],[Release Draft]]</f>
        <v>1519</v>
      </c>
      <c r="D12" s="97">
        <f ca="1">TblMili[[#This Row],[Military]]</f>
        <v>300</v>
      </c>
      <c r="E12" s="97">
        <f ca="1">TblMili[[#This Row],[Draftees]]</f>
        <v>100</v>
      </c>
      <c r="F12" s="97">
        <f ca="1">TblPop[[#This Row],[Peasants]]+TblPop[[#This Row],[Military]]</f>
        <v>1819</v>
      </c>
      <c r="G12" s="142">
        <f ca="1">TblPop[[#This Row],[Military]]/TblPop[[#This Row],[Total]]</f>
        <v>0.16492578339747113</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100</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44871.374999999978</v>
      </c>
      <c r="C13" s="97">
        <f ca="1">OFFSET(TblPop[[#This Row],[Peasants]],-1,0)+OFFSET(TblPop[[#This Row],[Net Peasant]],-1,0)+TblMili[[#This Row],[Release Draft]]</f>
        <v>1549</v>
      </c>
      <c r="D13" s="97">
        <f ca="1">TblMili[[#This Row],[Military]]</f>
        <v>300</v>
      </c>
      <c r="E13" s="97">
        <f ca="1">TblMili[[#This Row],[Draftees]]</f>
        <v>100</v>
      </c>
      <c r="F13" s="97">
        <f ca="1">TblPop[[#This Row],[Peasants]]+TblPop[[#This Row],[Military]]</f>
        <v>1849</v>
      </c>
      <c r="G13" s="142">
        <f ca="1">TblPop[[#This Row],[Military]]/TblPop[[#This Row],[Total]]</f>
        <v>0.16224986479177933</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100</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44871.416666666642</v>
      </c>
      <c r="C14" s="97">
        <f ca="1">OFFSET(TblPop[[#This Row],[Peasants]],-1,0)+OFFSET(TblPop[[#This Row],[Net Peasant]],-1,0)+TblMili[[#This Row],[Release Draft]]</f>
        <v>1580</v>
      </c>
      <c r="D14" s="97">
        <f ca="1">TblMili[[#This Row],[Military]]</f>
        <v>300</v>
      </c>
      <c r="E14" s="97">
        <f ca="1">TblMili[[#This Row],[Draftees]]</f>
        <v>100</v>
      </c>
      <c r="F14" s="97">
        <f ca="1">TblPop[[#This Row],[Peasants]]+TblPop[[#This Row],[Military]]</f>
        <v>1880</v>
      </c>
      <c r="G14" s="142">
        <f ca="1">TblPop[[#This Row],[Military]]/TblPop[[#This Row],[Total]]</f>
        <v>0.15957446808510639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100</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44871.458333333307</v>
      </c>
      <c r="C15" s="97">
        <f ca="1">OFFSET(TblPop[[#This Row],[Peasants]],-1,0)+OFFSET(TblPop[[#This Row],[Net Peasant]],-1,0)+TblMili[[#This Row],[Release Draft]]</f>
        <v>1611</v>
      </c>
      <c r="D15" s="97">
        <f ca="1">TblMili[[#This Row],[Military]]</f>
        <v>300</v>
      </c>
      <c r="E15" s="97">
        <f ca="1">TblMili[[#This Row],[Draftees]]</f>
        <v>100</v>
      </c>
      <c r="F15" s="97">
        <f ca="1">TblPop[[#This Row],[Peasants]]+TblPop[[#This Row],[Military]]</f>
        <v>1911</v>
      </c>
      <c r="G15" s="142">
        <f ca="1">TblPop[[#This Row],[Military]]/TblPop[[#This Row],[Total]]</f>
        <v>0.15698587127158556</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100</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44871.499999999971</v>
      </c>
      <c r="C16" s="97">
        <f ca="1">OFFSET(TblPop[[#This Row],[Peasants]],-1,0)+OFFSET(TblPop[[#This Row],[Net Peasant]],-1,0)+TblMili[[#This Row],[Release Draft]]</f>
        <v>1643</v>
      </c>
      <c r="D16" s="97">
        <f ca="1">TblMili[[#This Row],[Military]]</f>
        <v>300</v>
      </c>
      <c r="E16" s="97">
        <f ca="1">TblMili[[#This Row],[Draftees]]</f>
        <v>100</v>
      </c>
      <c r="F16" s="97">
        <f ca="1">TblPop[[#This Row],[Peasants]]+TblPop[[#This Row],[Military]]</f>
        <v>1943</v>
      </c>
      <c r="G16" s="142">
        <f ca="1">TblPop[[#This Row],[Military]]/TblPop[[#This Row],[Total]]</f>
        <v>0.15440041173443128</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100</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44871.541666666635</v>
      </c>
      <c r="C17" s="97">
        <f ca="1">OFFSET(TblPop[[#This Row],[Peasants]],-1,0)+OFFSET(TblPop[[#This Row],[Net Peasant]],-1,0)+TblMili[[#This Row],[Release Draft]]</f>
        <v>1676</v>
      </c>
      <c r="D17" s="97">
        <f ca="1">TblMili[[#This Row],[Military]]</f>
        <v>300</v>
      </c>
      <c r="E17" s="97">
        <f ca="1">TblMili[[#This Row],[Draftees]]</f>
        <v>100</v>
      </c>
      <c r="F17" s="97">
        <f ca="1">TblPop[[#This Row],[Peasants]]+TblPop[[#This Row],[Military]]</f>
        <v>1976</v>
      </c>
      <c r="G17" s="142">
        <f ca="1">TblPop[[#This Row],[Military]]/TblPop[[#This Row],[Total]]</f>
        <v>0.15182186234817813</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100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44871.583333333299</v>
      </c>
      <c r="C18" s="97">
        <f ca="1">OFFSET(TblPop[[#This Row],[Peasants]],-1,0)+OFFSET(TblPop[[#This Row],[Net Peasant]],-1,0)+TblMili[[#This Row],[Release Draft]]</f>
        <v>1709</v>
      </c>
      <c r="D18" s="97">
        <f ca="1">TblMili[[#This Row],[Military]]</f>
        <v>300</v>
      </c>
      <c r="E18" s="97">
        <f ca="1">TblMili[[#This Row],[Draftees]]</f>
        <v>100</v>
      </c>
      <c r="F18" s="97">
        <f ca="1">TblPop[[#This Row],[Peasants]]+TblPop[[#This Row],[Military]]</f>
        <v>2009</v>
      </c>
      <c r="G18" s="142">
        <f ca="1">TblPop[[#This Row],[Military]]/TblPop[[#This Row],[Total]]</f>
        <v>0.14932802389248381</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100</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44871.624999999964</v>
      </c>
      <c r="C19" s="97">
        <f ca="1">OFFSET(TblPop[[#This Row],[Peasants]],-1,0)+OFFSET(TblPop[[#This Row],[Net Peasant]],-1,0)+TblMili[[#This Row],[Release Draft]]</f>
        <v>1743</v>
      </c>
      <c r="D19" s="97">
        <f ca="1">TblMili[[#This Row],[Military]]</f>
        <v>300</v>
      </c>
      <c r="E19" s="97">
        <f ca="1">TblMili[[#This Row],[Draftees]]</f>
        <v>100</v>
      </c>
      <c r="F19" s="97">
        <f ca="1">TblPop[[#This Row],[Peasants]]+TblPop[[#This Row],[Military]]</f>
        <v>2043</v>
      </c>
      <c r="G19" s="142">
        <f ca="1">TblPop[[#This Row],[Military]]/TblPop[[#This Row],[Total]]</f>
        <v>0.14684287812041116</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100</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44871.666666666628</v>
      </c>
      <c r="C20" s="97">
        <f ca="1">OFFSET(TblPop[[#This Row],[Peasants]],-1,0)+OFFSET(TblPop[[#This Row],[Net Peasant]],-1,0)+TblMili[[#This Row],[Release Draft]]</f>
        <v>1778</v>
      </c>
      <c r="D20" s="97">
        <f ca="1">TblMili[[#This Row],[Military]]</f>
        <v>300</v>
      </c>
      <c r="E20" s="97">
        <f ca="1">TblMili[[#This Row],[Draftees]]</f>
        <v>100</v>
      </c>
      <c r="F20" s="97">
        <f ca="1">TblPop[[#This Row],[Peasants]]+TblPop[[#This Row],[Military]]</f>
        <v>2078</v>
      </c>
      <c r="G20" s="142">
        <f ca="1">TblPop[[#This Row],[Military]]/TblPop[[#This Row],[Total]]</f>
        <v>0.14436958614051973</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100</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35</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44871.708333333292</v>
      </c>
      <c r="C21" s="97">
        <f ca="1">OFFSET(TblPop[[#This Row],[Peasants]],-1,0)+OFFSET(TblPop[[#This Row],[Net Peasant]],-1,0)+TblMili[[#This Row],[Release Draft]]</f>
        <v>1813</v>
      </c>
      <c r="D21" s="97">
        <f ca="1">TblMili[[#This Row],[Military]]</f>
        <v>300</v>
      </c>
      <c r="E21" s="97">
        <f ca="1">TblMili[[#This Row],[Draftees]]</f>
        <v>100</v>
      </c>
      <c r="F21" s="97">
        <f ca="1">TblPop[[#This Row],[Peasants]]+TblPop[[#This Row],[Military]]</f>
        <v>2113</v>
      </c>
      <c r="G21" s="142">
        <f ca="1">TblPop[[#This Row],[Military]]/TblPop[[#This Row],[Total]]</f>
        <v>0.14197823000473261</v>
      </c>
      <c r="H21" s="143">
        <f ca="1">MIN(TblPop[[#This Row],[Peasants]],TblPop[[#This Row],[Jobs]])</f>
        <v>1600</v>
      </c>
      <c r="I21" s="142">
        <f ca="1">MIN(OFFSET(TblPop[[#This Row],[Jobs]],1,0)/TblPop[[#This Row],[Peasants]],1)</f>
        <v>0.88251516822945397</v>
      </c>
      <c r="J21" s="143">
        <f ca="1">SUM(TblConstr[[#This Row],[Tot Alc]:[Tot GT]],TblConstr[[#This Row],[Tot Shr]:[Tot Doc]],TblConstr[[#This Row],[Dest Alc]:[Dest GT]],TblConstr[[#This Row],[Dest Shr]:[Dest Doc]])*building_employment</f>
        <v>1600</v>
      </c>
      <c r="K21" s="144"/>
      <c r="L21" s="62">
        <f ca="1">TblPop[[#This Row],[Draftees]]</f>
        <v>100</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36</v>
      </c>
      <c r="X21" s="97">
        <f ca="1">ROUND(TblPop[[#This Row],[Raw Birth]]*(1+TblPop[[#This Row],[Growth]]),0)</f>
        <v>54</v>
      </c>
      <c r="Y21" s="97">
        <f ca="1">(TblPop[[#This Row],[Peasants]]-TblPop[[#This Row],[Draft Growth]])*raw_pop_growth</f>
        <v>53.85</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44871.749999999956</v>
      </c>
      <c r="C22" s="97">
        <f ca="1">OFFSET(TblPop[[#This Row],[Peasants]],-1,0)+OFFSET(TblPop[[#This Row],[Net Peasant]],-1,0)+TblMili[[#This Row],[Release Draft]]</f>
        <v>1849</v>
      </c>
      <c r="D22" s="97">
        <f ca="1">TblMili[[#This Row],[Military]]</f>
        <v>300</v>
      </c>
      <c r="E22" s="97">
        <f ca="1">TblMili[[#This Row],[Draftees]]</f>
        <v>100</v>
      </c>
      <c r="F22" s="97">
        <f ca="1">TblPop[[#This Row],[Peasants]]+TblPop[[#This Row],[Military]]</f>
        <v>2149</v>
      </c>
      <c r="G22" s="142">
        <f ca="1">TblPop[[#This Row],[Military]]/TblPop[[#This Row],[Total]]</f>
        <v>0.13959981386691483</v>
      </c>
      <c r="H22" s="143">
        <f ca="1">MIN(TblPop[[#This Row],[Peasants]],TblPop[[#This Row],[Jobs]])</f>
        <v>1600</v>
      </c>
      <c r="I22" s="142">
        <f ca="1">MIN(OFFSET(TblPop[[#This Row],[Jobs]],1,0)/TblPop[[#This Row],[Peasants]],1)</f>
        <v>0.86533261222282309</v>
      </c>
      <c r="J22" s="143">
        <f ca="1">SUM(TblConstr[[#This Row],[Tot Alc]:[Tot GT]],TblConstr[[#This Row],[Tot Shr]:[Tot Doc]],TblConstr[[#This Row],[Dest Alc]:[Dest GT]],TblConstr[[#This Row],[Dest Shr]:[Dest Doc]])*building_employment</f>
        <v>1600</v>
      </c>
      <c r="K22" s="144"/>
      <c r="L22" s="62">
        <f ca="1">TblPop[[#This Row],[Draftees]]</f>
        <v>100</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37</v>
      </c>
      <c r="X22" s="97">
        <f ca="1">ROUND(TblPop[[#This Row],[Raw Birth]]*(1+TblPop[[#This Row],[Growth]]),0)</f>
        <v>55</v>
      </c>
      <c r="Y22" s="97">
        <f ca="1">(TblPop[[#This Row],[Peasants]]-TblPop[[#This Row],[Draft Growth]])*raw_pop_growth</f>
        <v>54.93</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44871.791666666621</v>
      </c>
      <c r="C23" s="97">
        <f ca="1">OFFSET(TblPop[[#This Row],[Peasants]],-1,0)+OFFSET(TblPop[[#This Row],[Net Peasant]],-1,0)+TblMili[[#This Row],[Release Draft]]</f>
        <v>1886</v>
      </c>
      <c r="D23" s="97">
        <f ca="1">TblMili[[#This Row],[Military]]</f>
        <v>300</v>
      </c>
      <c r="E23" s="97">
        <f ca="1">TblMili[[#This Row],[Draftees]]</f>
        <v>100</v>
      </c>
      <c r="F23" s="97">
        <f ca="1">TblPop[[#This Row],[Peasants]]+TblPop[[#This Row],[Military]]</f>
        <v>2186</v>
      </c>
      <c r="G23" s="142">
        <f ca="1">TblPop[[#This Row],[Military]]/TblPop[[#This Row],[Total]]</f>
        <v>0.1372369624885636</v>
      </c>
      <c r="H23" s="143">
        <f ca="1">MIN(TblPop[[#This Row],[Peasants]],TblPop[[#This Row],[Jobs]])</f>
        <v>1600</v>
      </c>
      <c r="I23" s="142">
        <f ca="1">MIN(OFFSET(TblPop[[#This Row],[Jobs]],1,0)/TblPop[[#This Row],[Peasants]],1)</f>
        <v>0.84835630965005304</v>
      </c>
      <c r="J23" s="143">
        <f ca="1">SUM(TblConstr[[#This Row],[Tot Alc]:[Tot GT]],TblConstr[[#This Row],[Tot Shr]:[Tot Doc]],TblConstr[[#This Row],[Dest Alc]:[Dest GT]],TblConstr[[#This Row],[Dest Shr]:[Dest Doc]])*building_employment</f>
        <v>1600</v>
      </c>
      <c r="K23" s="144"/>
      <c r="L23" s="62">
        <f ca="1">TblPop[[#This Row],[Draftees]]</f>
        <v>100</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37</v>
      </c>
      <c r="X23" s="97">
        <f ca="1">ROUND(TblPop[[#This Row],[Raw Birth]]*(1+TblPop[[#This Row],[Growth]]),0)</f>
        <v>56</v>
      </c>
      <c r="Y23" s="97">
        <f ca="1">(TblPop[[#This Row],[Peasants]]-TblPop[[#This Row],[Draft Growth]])*raw_pop_growth</f>
        <v>56.01</v>
      </c>
      <c r="Z23" s="97">
        <f ca="1">IF(TblPop[[#This Row],[Military%]]&lt;TblMili[[#This Row],[Draftrate]],ROUND(TblPop[[#This Row],[Peasants]]*Constants!$B$55,0), 0)</f>
        <v>19</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44871.833333333285</v>
      </c>
      <c r="C24" s="97">
        <f ca="1">OFFSET(TblPop[[#This Row],[Peasants]],-1,0)+OFFSET(TblPop[[#This Row],[Net Peasant]],-1,0)+TblMili[[#This Row],[Release Draft]]</f>
        <v>1923</v>
      </c>
      <c r="D24" s="97">
        <f ca="1">TblMili[[#This Row],[Military]]</f>
        <v>300</v>
      </c>
      <c r="E24" s="97">
        <f ca="1">TblMili[[#This Row],[Draftees]]</f>
        <v>100</v>
      </c>
      <c r="F24" s="97">
        <f ca="1">TblPop[[#This Row],[Peasants]]+TblPop[[#This Row],[Military]]</f>
        <v>2223</v>
      </c>
      <c r="G24" s="142">
        <f ca="1">TblPop[[#This Row],[Military]]/TblPop[[#This Row],[Total]]</f>
        <v>0.1349527665317139</v>
      </c>
      <c r="H24" s="143">
        <f ca="1">MIN(TblPop[[#This Row],[Peasants]],TblPop[[#This Row],[Jobs]])</f>
        <v>1600</v>
      </c>
      <c r="I24" s="142">
        <f ca="1">MIN(OFFSET(TblPop[[#This Row],[Jobs]],1,0)/TblPop[[#This Row],[Peasants]],1)</f>
        <v>0.8320332813312532</v>
      </c>
      <c r="J24" s="143">
        <f ca="1">SUM(TblConstr[[#This Row],[Tot Alc]:[Tot GT]],TblConstr[[#This Row],[Tot Shr]:[Tot Doc]],TblConstr[[#This Row],[Dest Alc]:[Dest GT]],TblConstr[[#This Row],[Dest Shr]:[Dest Doc]])*building_employment</f>
        <v>1600</v>
      </c>
      <c r="K24" s="144"/>
      <c r="L24" s="62">
        <f ca="1">TblPop[[#This Row],[Draftees]]</f>
        <v>100</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38</v>
      </c>
      <c r="X24" s="97">
        <f ca="1">ROUND(TblPop[[#This Row],[Raw Birth]]*(1+TblPop[[#This Row],[Growth]]),0)</f>
        <v>57</v>
      </c>
      <c r="Y24" s="97">
        <f ca="1">(TblPop[[#This Row],[Peasants]]-TblPop[[#This Row],[Draft Growth]])*raw_pop_growth</f>
        <v>57.12</v>
      </c>
      <c r="Z24" s="97">
        <f ca="1">IF(TblPop[[#This Row],[Military%]]&lt;TblMili[[#This Row],[Draftrate]],ROUND(TblPop[[#This Row],[Peasants]]*Constants!$B$55,0), 0)</f>
        <v>19</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44871.874999999949</v>
      </c>
      <c r="C25" s="97">
        <f ca="1">OFFSET(TblPop[[#This Row],[Peasants]],-1,0)+OFFSET(TblPop[[#This Row],[Net Peasant]],-1,0)+TblMili[[#This Row],[Release Draft]]</f>
        <v>1961</v>
      </c>
      <c r="D25" s="97">
        <f ca="1">TblMili[[#This Row],[Military]]</f>
        <v>300</v>
      </c>
      <c r="E25" s="97">
        <f ca="1">TblMili[[#This Row],[Draftees]]</f>
        <v>100</v>
      </c>
      <c r="F25" s="97">
        <f ca="1">TblPop[[#This Row],[Peasants]]+TblPop[[#This Row],[Military]]</f>
        <v>2261</v>
      </c>
      <c r="G25" s="142">
        <f ca="1">TblPop[[#This Row],[Military]]/TblPop[[#This Row],[Total]]</f>
        <v>0.13268465280849182</v>
      </c>
      <c r="H25" s="143">
        <f ca="1">MIN(TblPop[[#This Row],[Peasants]],TblPop[[#This Row],[Jobs]])</f>
        <v>1600</v>
      </c>
      <c r="I25" s="142">
        <f ca="1">MIN(OFFSET(TblPop[[#This Row],[Jobs]],1,0)/TblPop[[#This Row],[Peasants]],1)</f>
        <v>0.81591024987251404</v>
      </c>
      <c r="J25" s="143">
        <f ca="1">SUM(TblConstr[[#This Row],[Tot Alc]:[Tot GT]],TblConstr[[#This Row],[Tot Shr]:[Tot Doc]],TblConstr[[#This Row],[Dest Alc]:[Dest GT]],TblConstr[[#This Row],[Dest Shr]:[Dest Doc]])*building_employment</f>
        <v>1600</v>
      </c>
      <c r="K25" s="144"/>
      <c r="L25" s="62">
        <f ca="1">TblPop[[#This Row],[Draftees]]</f>
        <v>100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38</v>
      </c>
      <c r="X25" s="97">
        <f ca="1">ROUND(TblPop[[#This Row],[Raw Birth]]*(1+TblPop[[#This Row],[Growth]]),0)</f>
        <v>58</v>
      </c>
      <c r="Y25" s="97">
        <f ca="1">(TblPop[[#This Row],[Peasants]]-TblPop[[#This Row],[Draft Growth]])*raw_pop_growth</f>
        <v>58.23</v>
      </c>
      <c r="Z25" s="97">
        <f ca="1">IF(TblPop[[#This Row],[Military%]]&lt;TblMili[[#This Row],[Draftrate]],ROUND(TblPop[[#This Row],[Peasants]]*Constants!$B$55,0), 0)</f>
        <v>20</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44871.916666666613</v>
      </c>
      <c r="C26" s="97">
        <f ca="1">OFFSET(TblPop[[#This Row],[Peasants]],-1,0)+OFFSET(TblPop[[#This Row],[Net Peasant]],-1,0)+TblMili[[#This Row],[Release Draft]]</f>
        <v>1999</v>
      </c>
      <c r="D26" s="97">
        <f ca="1">TblMili[[#This Row],[Military]]</f>
        <v>300</v>
      </c>
      <c r="E26" s="97">
        <f ca="1">TblMili[[#This Row],[Draftees]]</f>
        <v>100</v>
      </c>
      <c r="F26" s="97">
        <f ca="1">TblPop[[#This Row],[Peasants]]+TblPop[[#This Row],[Military]]</f>
        <v>2299</v>
      </c>
      <c r="G26" s="142">
        <f ca="1">TblPop[[#This Row],[Military]]/TblPop[[#This Row],[Total]]</f>
        <v>0.13049151805132667</v>
      </c>
      <c r="H26" s="143">
        <f ca="1">MIN(TblPop[[#This Row],[Peasants]],TblPop[[#This Row],[Jobs]])</f>
        <v>1600</v>
      </c>
      <c r="I26" s="142">
        <f ca="1">MIN(OFFSET(TblPop[[#This Row],[Jobs]],1,0)/TblPop[[#This Row],[Peasants]],1)</f>
        <v>0.80040020010004997</v>
      </c>
      <c r="J26" s="143">
        <f ca="1">SUM(TblConstr[[#This Row],[Tot Alc]:[Tot GT]],TblConstr[[#This Row],[Tot Shr]:[Tot Doc]],TblConstr[[#This Row],[Dest Alc]:[Dest GT]],TblConstr[[#This Row],[Dest Shr]:[Dest Doc]])*building_employment</f>
        <v>1600</v>
      </c>
      <c r="K26" s="144"/>
      <c r="L26" s="62">
        <f ca="1">TblPop[[#This Row],[Draftees]]</f>
        <v>100</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39</v>
      </c>
      <c r="X26" s="97">
        <f ca="1">ROUND(TblPop[[#This Row],[Raw Birth]]*(1+TblPop[[#This Row],[Growth]]),0)</f>
        <v>59</v>
      </c>
      <c r="Y26" s="97">
        <f ca="1">(TblPop[[#This Row],[Peasants]]-TblPop[[#This Row],[Draft Growth]])*raw_pop_growth</f>
        <v>59.37</v>
      </c>
      <c r="Z26" s="97">
        <f ca="1">IF(TblPop[[#This Row],[Military%]]&lt;TblMili[[#This Row],[Draftrate]],ROUND(TblPop[[#This Row],[Peasants]]*Constants!$B$55,0), 0)</f>
        <v>20</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44871.958333333278</v>
      </c>
      <c r="C27" s="97">
        <f ca="1">OFFSET(TblPop[[#This Row],[Peasants]],-1,0)+OFFSET(TblPop[[#This Row],[Net Peasant]],-1,0)+TblMili[[#This Row],[Release Draft]]</f>
        <v>2038</v>
      </c>
      <c r="D27" s="97">
        <f ca="1">TblMili[[#This Row],[Military]]</f>
        <v>300</v>
      </c>
      <c r="E27" s="97">
        <f ca="1">TblMili[[#This Row],[Draftees]]</f>
        <v>100</v>
      </c>
      <c r="F27" s="97">
        <f ca="1">TblPop[[#This Row],[Peasants]]+TblPop[[#This Row],[Military]]</f>
        <v>2338</v>
      </c>
      <c r="G27" s="142">
        <f ca="1">TblPop[[#This Row],[Military]]/TblPop[[#This Row],[Total]]</f>
        <v>0.12831479897348161</v>
      </c>
      <c r="H27" s="143">
        <f ca="1">MIN(TblPop[[#This Row],[Peasants]],TblPop[[#This Row],[Jobs]])</f>
        <v>1600</v>
      </c>
      <c r="I27" s="142">
        <f ca="1">MIN(OFFSET(TblPop[[#This Row],[Jobs]],1,0)/TblPop[[#This Row],[Peasants]],1)</f>
        <v>0.78508341511285573</v>
      </c>
      <c r="J27" s="143">
        <f ca="1">SUM(TblConstr[[#This Row],[Tot Alc]:[Tot GT]],TblConstr[[#This Row],[Tot Shr]:[Tot Doc]],TblConstr[[#This Row],[Dest Alc]:[Dest GT]],TblConstr[[#This Row],[Dest Shr]:[Dest Doc]])*building_employment</f>
        <v>1600</v>
      </c>
      <c r="K27" s="144"/>
      <c r="L27" s="62">
        <f ca="1">TblPop[[#This Row],[Draftees]]</f>
        <v>100</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0</v>
      </c>
      <c r="X27" s="97">
        <f ca="1">ROUND(TblPop[[#This Row],[Raw Birth]]*(1+TblPop[[#This Row],[Growth]]),0)</f>
        <v>61</v>
      </c>
      <c r="Y27" s="97">
        <f ca="1">(TblPop[[#This Row],[Peasants]]-TblPop[[#This Row],[Draft Growth]])*raw_pop_growth</f>
        <v>60.54</v>
      </c>
      <c r="Z27" s="97">
        <f ca="1">IF(TblPop[[#This Row],[Military%]]&lt;TblMili[[#This Row],[Draftrate]],ROUND(TblPop[[#This Row],[Peasants]]*Constants!$B$55,0), 0)</f>
        <v>20</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44871.999999999942</v>
      </c>
      <c r="C28" s="97">
        <f ca="1">OFFSET(TblPop[[#This Row],[Peasants]],-1,0)+OFFSET(TblPop[[#This Row],[Net Peasant]],-1,0)+TblMili[[#This Row],[Release Draft]]</f>
        <v>2038</v>
      </c>
      <c r="D28" s="97">
        <f ca="1">TblMili[[#This Row],[Military]]</f>
        <v>300</v>
      </c>
      <c r="E28" s="97">
        <f ca="1">TblMili[[#This Row],[Draftees]]</f>
        <v>100</v>
      </c>
      <c r="F28" s="97">
        <f ca="1">TblPop[[#This Row],[Peasants]]+TblPop[[#This Row],[Military]]</f>
        <v>2338</v>
      </c>
      <c r="G28" s="142">
        <f ca="1">TblPop[[#This Row],[Military]]/TblPop[[#This Row],[Total]]</f>
        <v>0.12831479897348161</v>
      </c>
      <c r="H28" s="143">
        <f ca="1">MIN(TblPop[[#This Row],[Peasants]],TblPop[[#This Row],[Jobs]])</f>
        <v>1600</v>
      </c>
      <c r="I28" s="142">
        <f ca="1">MIN(OFFSET(TblPop[[#This Row],[Jobs]],1,0)/TblPop[[#This Row],[Peasants]],1)</f>
        <v>0.78508341511285573</v>
      </c>
      <c r="J28" s="143">
        <f ca="1">SUM(TblConstr[[#This Row],[Tot Alc]:[Tot GT]],TblConstr[[#This Row],[Tot Shr]:[Tot Doc]],TblConstr[[#This Row],[Dest Alc]:[Dest GT]],TblConstr[[#This Row],[Dest Shr]:[Dest Doc]])*building_employment</f>
        <v>1600</v>
      </c>
      <c r="K28" s="144"/>
      <c r="L28" s="62">
        <f ca="1">TblPop[[#This Row],[Draftees]]</f>
        <v>100</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0</v>
      </c>
      <c r="X28" s="97">
        <f ca="1">ROUND(TblPop[[#This Row],[Raw Birth]]*(1+TblPop[[#This Row],[Growth]]),0)</f>
        <v>61</v>
      </c>
      <c r="Y28" s="97">
        <f ca="1">(TblPop[[#This Row],[Peasants]]-TblPop[[#This Row],[Draft Growth]])*raw_pop_growth</f>
        <v>60.54</v>
      </c>
      <c r="Z28" s="97">
        <f ca="1">IF(TblPop[[#This Row],[Military%]]&lt;TblMili[[#This Row],[Draftrate]],ROUND(TblPop[[#This Row],[Peasants]]*Constants!$B$55,0), 0)</f>
        <v>20</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44872.041666666606</v>
      </c>
      <c r="C29" s="97">
        <f ca="1">OFFSET(TblPop[[#This Row],[Peasants]],-1,0)+OFFSET(TblPop[[#This Row],[Net Peasant]],-1,0)+TblMili[[#This Row],[Release Draft]]</f>
        <v>2038</v>
      </c>
      <c r="D29" s="97">
        <f ca="1">TblMili[[#This Row],[Military]]</f>
        <v>300</v>
      </c>
      <c r="E29" s="97">
        <f ca="1">TblMili[[#This Row],[Draftees]]</f>
        <v>100</v>
      </c>
      <c r="F29" s="97">
        <f ca="1">TblPop[[#This Row],[Peasants]]+TblPop[[#This Row],[Military]]</f>
        <v>2338</v>
      </c>
      <c r="G29" s="142">
        <f ca="1">TblPop[[#This Row],[Military]]/TblPop[[#This Row],[Total]]</f>
        <v>0.12831479897348161</v>
      </c>
      <c r="H29" s="143">
        <f ca="1">MIN(TblPop[[#This Row],[Peasants]],TblPop[[#This Row],[Jobs]])</f>
        <v>1600</v>
      </c>
      <c r="I29" s="142">
        <f ca="1">MIN(OFFSET(TblPop[[#This Row],[Jobs]],1,0)/TblPop[[#This Row],[Peasants]],1)</f>
        <v>0.78508341511285573</v>
      </c>
      <c r="J29" s="143">
        <f ca="1">SUM(TblConstr[[#This Row],[Tot Alc]:[Tot GT]],TblConstr[[#This Row],[Tot Shr]:[Tot Doc]],TblConstr[[#This Row],[Dest Alc]:[Dest GT]],TblConstr[[#This Row],[Dest Shr]:[Dest Doc]])*building_employment</f>
        <v>1600</v>
      </c>
      <c r="K29" s="144"/>
      <c r="L29" s="62">
        <f ca="1">TblPop[[#This Row],[Draftees]]</f>
        <v>100</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0</v>
      </c>
      <c r="X29" s="97">
        <f ca="1">ROUND(TblPop[[#This Row],[Raw Birth]]*(1+TblPop[[#This Row],[Growth]]),0)</f>
        <v>61</v>
      </c>
      <c r="Y29" s="97">
        <f ca="1">(TblPop[[#This Row],[Peasants]]-TblPop[[#This Row],[Draft Growth]])*raw_pop_growth</f>
        <v>60.54</v>
      </c>
      <c r="Z29" s="97">
        <f ca="1">IF(TblPop[[#This Row],[Military%]]&lt;TblMili[[#This Row],[Draftrate]],ROUND(TblPop[[#This Row],[Peasants]]*Constants!$B$55,0), 0)</f>
        <v>20</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44872.08333333327</v>
      </c>
      <c r="C30" s="97">
        <f ca="1">OFFSET(TblPop[[#This Row],[Peasants]],-1,0)+OFFSET(TblPop[[#This Row],[Net Peasant]],-1,0)+TblMili[[#This Row],[Release Draft]]</f>
        <v>2038</v>
      </c>
      <c r="D30" s="97">
        <f ca="1">TblMili[[#This Row],[Military]]</f>
        <v>300</v>
      </c>
      <c r="E30" s="97">
        <f ca="1">TblMili[[#This Row],[Draftees]]</f>
        <v>100</v>
      </c>
      <c r="F30" s="97">
        <f ca="1">TblPop[[#This Row],[Peasants]]+TblPop[[#This Row],[Military]]</f>
        <v>2338</v>
      </c>
      <c r="G30" s="142">
        <f ca="1">TblPop[[#This Row],[Military]]/TblPop[[#This Row],[Total]]</f>
        <v>0.12831479897348161</v>
      </c>
      <c r="H30" s="143">
        <f ca="1">MIN(TblPop[[#This Row],[Peasants]],TblPop[[#This Row],[Jobs]])</f>
        <v>1600</v>
      </c>
      <c r="I30" s="142">
        <f ca="1">MIN(OFFSET(TblPop[[#This Row],[Jobs]],1,0)/TblPop[[#This Row],[Peasants]],1)</f>
        <v>0.78508341511285573</v>
      </c>
      <c r="J30" s="143">
        <f ca="1">SUM(TblConstr[[#This Row],[Tot Alc]:[Tot GT]],TblConstr[[#This Row],[Tot Shr]:[Tot Doc]],TblConstr[[#This Row],[Dest Alc]:[Dest GT]],TblConstr[[#This Row],[Dest Shr]:[Dest Doc]])*building_employment</f>
        <v>1600</v>
      </c>
      <c r="K30" s="144"/>
      <c r="L30" s="62">
        <f ca="1">TblPop[[#This Row],[Draftees]]</f>
        <v>100</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0</v>
      </c>
      <c r="X30" s="97">
        <f ca="1">ROUND(TblPop[[#This Row],[Raw Birth]]*(1+TblPop[[#This Row],[Growth]]),0)</f>
        <v>61</v>
      </c>
      <c r="Y30" s="97">
        <f ca="1">(TblPop[[#This Row],[Peasants]]-TblPop[[#This Row],[Draft Growth]])*raw_pop_growth</f>
        <v>60.54</v>
      </c>
      <c r="Z30" s="97">
        <f ca="1">IF(TblPop[[#This Row],[Military%]]&lt;TblMili[[#This Row],[Draftrate]],ROUND(TblPop[[#This Row],[Peasants]]*Constants!$B$55,0), 0)</f>
        <v>20</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44872.124999999935</v>
      </c>
      <c r="C31" s="97">
        <f ca="1">OFFSET(TblPop[[#This Row],[Peasants]],-1,0)+OFFSET(TblPop[[#This Row],[Net Peasant]],-1,0)+TblMili[[#This Row],[Release Draft]]</f>
        <v>2038</v>
      </c>
      <c r="D31" s="97">
        <f ca="1">TblMili[[#This Row],[Military]]</f>
        <v>300</v>
      </c>
      <c r="E31" s="97">
        <f ca="1">TblMili[[#This Row],[Draftees]]</f>
        <v>100</v>
      </c>
      <c r="F31" s="97">
        <f ca="1">TblPop[[#This Row],[Peasants]]+TblPop[[#This Row],[Military]]</f>
        <v>2338</v>
      </c>
      <c r="G31" s="142">
        <f ca="1">TblPop[[#This Row],[Military]]/TblPop[[#This Row],[Total]]</f>
        <v>0.12831479897348161</v>
      </c>
      <c r="H31" s="143">
        <f ca="1">MIN(TblPop[[#This Row],[Peasants]],TblPop[[#This Row],[Jobs]])</f>
        <v>1600</v>
      </c>
      <c r="I31" s="142">
        <f ca="1">MIN(OFFSET(TblPop[[#This Row],[Jobs]],1,0)/TblPop[[#This Row],[Peasants]],1)</f>
        <v>0.78508341511285573</v>
      </c>
      <c r="J31" s="143">
        <f ca="1">SUM(TblConstr[[#This Row],[Tot Alc]:[Tot GT]],TblConstr[[#This Row],[Tot Shr]:[Tot Doc]],TblConstr[[#This Row],[Dest Alc]:[Dest GT]],TblConstr[[#This Row],[Dest Shr]:[Dest Doc]])*building_employment</f>
        <v>1600</v>
      </c>
      <c r="K31" s="144"/>
      <c r="L31" s="62">
        <f ca="1">TblPop[[#This Row],[Draftees]]</f>
        <v>100</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0</v>
      </c>
      <c r="X31" s="97">
        <f ca="1">ROUND(TblPop[[#This Row],[Raw Birth]]*(1+TblPop[[#This Row],[Growth]]),0)</f>
        <v>61</v>
      </c>
      <c r="Y31" s="97">
        <f ca="1">(TblPop[[#This Row],[Peasants]]-TblPop[[#This Row],[Draft Growth]])*raw_pop_growth</f>
        <v>60.54</v>
      </c>
      <c r="Z31" s="97">
        <f ca="1">IF(TblPop[[#This Row],[Military%]]&lt;TblMili[[#This Row],[Draftrate]],ROUND(TblPop[[#This Row],[Peasants]]*Constants!$B$55,0), 0)</f>
        <v>20</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44872.166666666599</v>
      </c>
      <c r="C32" s="97">
        <f ca="1">OFFSET(TblPop[[#This Row],[Peasants]],-1,0)+OFFSET(TblPop[[#This Row],[Net Peasant]],-1,0)+TblMili[[#This Row],[Release Draft]]</f>
        <v>2038</v>
      </c>
      <c r="D32" s="97">
        <f ca="1">TblMili[[#This Row],[Military]]</f>
        <v>300</v>
      </c>
      <c r="E32" s="97">
        <f ca="1">TblMili[[#This Row],[Draftees]]</f>
        <v>100</v>
      </c>
      <c r="F32" s="97">
        <f ca="1">TblPop[[#This Row],[Peasants]]+TblPop[[#This Row],[Military]]</f>
        <v>2338</v>
      </c>
      <c r="G32" s="142">
        <f ca="1">TblPop[[#This Row],[Military]]/TblPop[[#This Row],[Total]]</f>
        <v>0.12831479897348161</v>
      </c>
      <c r="H32" s="143">
        <f ca="1">MIN(TblPop[[#This Row],[Peasants]],TblPop[[#This Row],[Jobs]])</f>
        <v>1600</v>
      </c>
      <c r="I32" s="142">
        <f ca="1">MIN(OFFSET(TblPop[[#This Row],[Jobs]],1,0)/TblPop[[#This Row],[Peasants]],1)</f>
        <v>0.78508341511285573</v>
      </c>
      <c r="J32" s="143">
        <f ca="1">SUM(TblConstr[[#This Row],[Tot Alc]:[Tot GT]],TblConstr[[#This Row],[Tot Shr]:[Tot Doc]],TblConstr[[#This Row],[Dest Alc]:[Dest GT]],TblConstr[[#This Row],[Dest Shr]:[Dest Doc]])*building_employment</f>
        <v>1600</v>
      </c>
      <c r="K32" s="144"/>
      <c r="L32" s="62">
        <f ca="1">TblPop[[#This Row],[Draftees]]</f>
        <v>100</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0</v>
      </c>
      <c r="X32" s="97">
        <f ca="1">ROUND(TblPop[[#This Row],[Raw Birth]]*(1+TblPop[[#This Row],[Growth]]),0)</f>
        <v>61</v>
      </c>
      <c r="Y32" s="97">
        <f ca="1">(TblPop[[#This Row],[Peasants]]-TblPop[[#This Row],[Draft Growth]])*raw_pop_growth</f>
        <v>60.54</v>
      </c>
      <c r="Z32" s="97">
        <f ca="1">IF(TblPop[[#This Row],[Military%]]&lt;TblMili[[#This Row],[Draftrate]],ROUND(TblPop[[#This Row],[Peasants]]*Constants!$B$55,0), 0)</f>
        <v>20</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44872.208333333263</v>
      </c>
      <c r="C33" s="97">
        <f ca="1">OFFSET(TblPop[[#This Row],[Peasants]],-1,0)+OFFSET(TblPop[[#This Row],[Net Peasant]],-1,0)+TblMili[[#This Row],[Release Draft]]</f>
        <v>2038</v>
      </c>
      <c r="D33" s="97">
        <f ca="1">TblMili[[#This Row],[Military]]</f>
        <v>300</v>
      </c>
      <c r="E33" s="97">
        <f ca="1">TblMili[[#This Row],[Draftees]]</f>
        <v>100</v>
      </c>
      <c r="F33" s="97">
        <f ca="1">TblPop[[#This Row],[Peasants]]+TblPop[[#This Row],[Military]]</f>
        <v>2338</v>
      </c>
      <c r="G33" s="142">
        <f ca="1">TblPop[[#This Row],[Military]]/TblPop[[#This Row],[Total]]</f>
        <v>0.12831479897348161</v>
      </c>
      <c r="H33" s="143">
        <f ca="1">MIN(TblPop[[#This Row],[Peasants]],TblPop[[#This Row],[Jobs]])</f>
        <v>1600</v>
      </c>
      <c r="I33" s="142">
        <f ca="1">MIN(OFFSET(TblPop[[#This Row],[Jobs]],1,0)/TblPop[[#This Row],[Peasants]],1)</f>
        <v>0.78508341511285573</v>
      </c>
      <c r="J33" s="143">
        <f ca="1">SUM(TblConstr[[#This Row],[Tot Alc]:[Tot GT]],TblConstr[[#This Row],[Tot Shr]:[Tot Doc]],TblConstr[[#This Row],[Dest Alc]:[Dest GT]],TblConstr[[#This Row],[Dest Shr]:[Dest Doc]])*building_employment</f>
        <v>1600</v>
      </c>
      <c r="K33" s="144"/>
      <c r="L33" s="62">
        <f ca="1">TblPop[[#This Row],[Draftees]]</f>
        <v>100</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0</v>
      </c>
      <c r="X33" s="97">
        <f ca="1">ROUND(TblPop[[#This Row],[Raw Birth]]*(1+TblPop[[#This Row],[Growth]]),0)</f>
        <v>61</v>
      </c>
      <c r="Y33" s="97">
        <f ca="1">(TblPop[[#This Row],[Peasants]]-TblPop[[#This Row],[Draft Growth]])*raw_pop_growth</f>
        <v>60.54</v>
      </c>
      <c r="Z33" s="97">
        <f ca="1">IF(TblPop[[#This Row],[Military%]]&lt;TblMili[[#This Row],[Draftrate]],ROUND(TblPop[[#This Row],[Peasants]]*Constants!$B$55,0), 0)</f>
        <v>20</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44872.249999999927</v>
      </c>
      <c r="C34" s="97">
        <f ca="1">OFFSET(TblPop[[#This Row],[Peasants]],-1,0)+OFFSET(TblPop[[#This Row],[Net Peasant]],-1,0)+TblMili[[#This Row],[Release Draft]]</f>
        <v>2038</v>
      </c>
      <c r="D34" s="97">
        <f ca="1">TblMili[[#This Row],[Military]]</f>
        <v>300</v>
      </c>
      <c r="E34" s="97">
        <f ca="1">TblMili[[#This Row],[Draftees]]</f>
        <v>100</v>
      </c>
      <c r="F34" s="97">
        <f ca="1">TblPop[[#This Row],[Peasants]]+TblPop[[#This Row],[Military]]</f>
        <v>2338</v>
      </c>
      <c r="G34" s="142">
        <f ca="1">TblPop[[#This Row],[Military]]/TblPop[[#This Row],[Total]]</f>
        <v>0.12831479897348161</v>
      </c>
      <c r="H34" s="143">
        <f ca="1">MIN(TblPop[[#This Row],[Peasants]],TblPop[[#This Row],[Jobs]])</f>
        <v>1600</v>
      </c>
      <c r="I34" s="142">
        <f ca="1">MIN(OFFSET(TblPop[[#This Row],[Jobs]],1,0)/TblPop[[#This Row],[Peasants]],1)</f>
        <v>0.78508341511285573</v>
      </c>
      <c r="J34" s="143">
        <f ca="1">SUM(TblConstr[[#This Row],[Tot Alc]:[Tot GT]],TblConstr[[#This Row],[Tot Shr]:[Tot Doc]],TblConstr[[#This Row],[Dest Alc]:[Dest GT]],TblConstr[[#This Row],[Dest Shr]:[Dest Doc]])*building_employment</f>
        <v>1600</v>
      </c>
      <c r="K34" s="144"/>
      <c r="L34" s="62">
        <f ca="1">TblPop[[#This Row],[Draftees]]</f>
        <v>100</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0</v>
      </c>
      <c r="X34" s="97">
        <f ca="1">ROUND(TblPop[[#This Row],[Raw Birth]]*(1+TblPop[[#This Row],[Growth]]),0)</f>
        <v>61</v>
      </c>
      <c r="Y34" s="97">
        <f ca="1">(TblPop[[#This Row],[Peasants]]-TblPop[[#This Row],[Draft Growth]])*raw_pop_growth</f>
        <v>60.54</v>
      </c>
      <c r="Z34" s="97">
        <f ca="1">IF(TblPop[[#This Row],[Military%]]&lt;TblMili[[#This Row],[Draftrate]],ROUND(TblPop[[#This Row],[Peasants]]*Constants!$B$55,0), 0)</f>
        <v>20</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44872.291666666591</v>
      </c>
      <c r="C35" s="97">
        <f ca="1">OFFSET(TblPop[[#This Row],[Peasants]],-1,0)+OFFSET(TblPop[[#This Row],[Net Peasant]],-1,0)+TblMili[[#This Row],[Release Draft]]</f>
        <v>2038</v>
      </c>
      <c r="D35" s="97">
        <f ca="1">TblMili[[#This Row],[Military]]</f>
        <v>300</v>
      </c>
      <c r="E35" s="97">
        <f ca="1">TblMili[[#This Row],[Draftees]]</f>
        <v>100</v>
      </c>
      <c r="F35" s="97">
        <f ca="1">TblPop[[#This Row],[Peasants]]+TblPop[[#This Row],[Military]]</f>
        <v>2338</v>
      </c>
      <c r="G35" s="142">
        <f ca="1">TblPop[[#This Row],[Military]]/TblPop[[#This Row],[Total]]</f>
        <v>0.12831479897348161</v>
      </c>
      <c r="H35" s="143">
        <f ca="1">MIN(TblPop[[#This Row],[Peasants]],TblPop[[#This Row],[Jobs]])</f>
        <v>1600</v>
      </c>
      <c r="I35" s="142">
        <f ca="1">MIN(OFFSET(TblPop[[#This Row],[Jobs]],1,0)/TblPop[[#This Row],[Peasants]],1)</f>
        <v>0.78508341511285573</v>
      </c>
      <c r="J35" s="143">
        <f ca="1">SUM(TblConstr[[#This Row],[Tot Alc]:[Tot GT]],TblConstr[[#This Row],[Tot Shr]:[Tot Doc]],TblConstr[[#This Row],[Dest Alc]:[Dest GT]],TblConstr[[#This Row],[Dest Shr]:[Dest Doc]])*building_employment</f>
        <v>1600</v>
      </c>
      <c r="K35" s="144"/>
      <c r="L35" s="62">
        <f ca="1">TblPop[[#This Row],[Draftees]]</f>
        <v>100</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0</v>
      </c>
      <c r="X35" s="97">
        <f ca="1">ROUND(TblPop[[#This Row],[Raw Birth]]*(1+TblPop[[#This Row],[Growth]]),0)</f>
        <v>61</v>
      </c>
      <c r="Y35" s="97">
        <f ca="1">(TblPop[[#This Row],[Peasants]]-TblPop[[#This Row],[Draft Growth]])*raw_pop_growth</f>
        <v>60.54</v>
      </c>
      <c r="Z35" s="97">
        <f ca="1">IF(TblPop[[#This Row],[Military%]]&lt;TblMili[[#This Row],[Draftrate]],ROUND(TblPop[[#This Row],[Peasants]]*Constants!$B$55,0), 0)</f>
        <v>20</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44872.333333333256</v>
      </c>
      <c r="C36" s="97">
        <f ca="1">OFFSET(TblPop[[#This Row],[Peasants]],-1,0)+OFFSET(TblPop[[#This Row],[Net Peasant]],-1,0)+TblMili[[#This Row],[Release Draft]]</f>
        <v>2038</v>
      </c>
      <c r="D36" s="97">
        <f ca="1">TblMili[[#This Row],[Military]]</f>
        <v>300</v>
      </c>
      <c r="E36" s="97">
        <f ca="1">TblMili[[#This Row],[Draftees]]</f>
        <v>100</v>
      </c>
      <c r="F36" s="97">
        <f ca="1">TblPop[[#This Row],[Peasants]]+TblPop[[#This Row],[Military]]</f>
        <v>2338</v>
      </c>
      <c r="G36" s="142">
        <f ca="1">TblPop[[#This Row],[Military]]/TblPop[[#This Row],[Total]]</f>
        <v>0.12831479897348161</v>
      </c>
      <c r="H36" s="143">
        <f ca="1">MIN(TblPop[[#This Row],[Peasants]],TblPop[[#This Row],[Jobs]])</f>
        <v>1600</v>
      </c>
      <c r="I36" s="142">
        <f ca="1">MIN(OFFSET(TblPop[[#This Row],[Jobs]],1,0)/TblPop[[#This Row],[Peasants]],1)</f>
        <v>0.78508341511285573</v>
      </c>
      <c r="J36" s="143">
        <f ca="1">SUM(TblConstr[[#This Row],[Tot Alc]:[Tot GT]],TblConstr[[#This Row],[Tot Shr]:[Tot Doc]],TblConstr[[#This Row],[Dest Alc]:[Dest GT]],TblConstr[[#This Row],[Dest Shr]:[Dest Doc]])*building_employment</f>
        <v>1600</v>
      </c>
      <c r="K36" s="144"/>
      <c r="L36" s="62">
        <f ca="1">TblPop[[#This Row],[Draftees]]</f>
        <v>100</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0</v>
      </c>
      <c r="X36" s="97">
        <f ca="1">ROUND(TblPop[[#This Row],[Raw Birth]]*(1+TblPop[[#This Row],[Growth]]),0)</f>
        <v>61</v>
      </c>
      <c r="Y36" s="97">
        <f ca="1">(TblPop[[#This Row],[Peasants]]-TblPop[[#This Row],[Draft Growth]])*raw_pop_growth</f>
        <v>60.54</v>
      </c>
      <c r="Z36" s="97">
        <f ca="1">IF(TblPop[[#This Row],[Military%]]&lt;TblMili[[#This Row],[Draftrate]],ROUND(TblPop[[#This Row],[Peasants]]*Constants!$B$55,0), 0)</f>
        <v>20</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44872.37499999992</v>
      </c>
      <c r="C37" s="97">
        <f ca="1">OFFSET(TblPop[[#This Row],[Peasants]],-1,0)+OFFSET(TblPop[[#This Row],[Net Peasant]],-1,0)+TblMili[[#This Row],[Release Draft]]</f>
        <v>2038</v>
      </c>
      <c r="D37" s="97">
        <f ca="1">TblMili[[#This Row],[Military]]</f>
        <v>300</v>
      </c>
      <c r="E37" s="97">
        <f ca="1">TblMili[[#This Row],[Draftees]]</f>
        <v>100</v>
      </c>
      <c r="F37" s="97">
        <f ca="1">TblPop[[#This Row],[Peasants]]+TblPop[[#This Row],[Military]]</f>
        <v>2338</v>
      </c>
      <c r="G37" s="142">
        <f ca="1">TblPop[[#This Row],[Military]]/TblPop[[#This Row],[Total]]</f>
        <v>0.12831479897348161</v>
      </c>
      <c r="H37" s="143">
        <f ca="1">MIN(TblPop[[#This Row],[Peasants]],TblPop[[#This Row],[Jobs]])</f>
        <v>1600</v>
      </c>
      <c r="I37" s="142">
        <f ca="1">MIN(OFFSET(TblPop[[#This Row],[Jobs]],1,0)/TblPop[[#This Row],[Peasants]],1)</f>
        <v>0.78508341511285573</v>
      </c>
      <c r="J37" s="143">
        <f ca="1">SUM(TblConstr[[#This Row],[Tot Alc]:[Tot GT]],TblConstr[[#This Row],[Tot Shr]:[Tot Doc]],TblConstr[[#This Row],[Dest Alc]:[Dest GT]],TblConstr[[#This Row],[Dest Shr]:[Dest Doc]])*building_employment</f>
        <v>1600</v>
      </c>
      <c r="K37" s="144"/>
      <c r="L37" s="62">
        <f ca="1">TblPop[[#This Row],[Draftees]]</f>
        <v>100</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61</v>
      </c>
      <c r="Y37" s="97">
        <f ca="1">(TblPop[[#This Row],[Peasants]]-TblPop[[#This Row],[Draft Growth]])*raw_pop_growth</f>
        <v>60.54</v>
      </c>
      <c r="Z37" s="97">
        <f ca="1">IF(TblPop[[#This Row],[Military%]]&lt;TblMili[[#This Row],[Draftrate]],ROUND(TblPop[[#This Row],[Peasants]]*Constants!$B$55,0), 0)</f>
        <v>20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44872.416666666584</v>
      </c>
      <c r="C38" s="97">
        <f ca="1">OFFSET(TblPop[[#This Row],[Peasants]],-1,0)+OFFSET(TblPop[[#This Row],[Net Peasant]],-1,0)+TblMili[[#This Row],[Release Draft]]</f>
        <v>2038</v>
      </c>
      <c r="D38" s="97">
        <f ca="1">TblMili[[#This Row],[Military]]</f>
        <v>300</v>
      </c>
      <c r="E38" s="97">
        <f ca="1">TblMili[[#This Row],[Draftees]]</f>
        <v>100</v>
      </c>
      <c r="F38" s="97">
        <f ca="1">TblPop[[#This Row],[Peasants]]+TblPop[[#This Row],[Military]]</f>
        <v>2338</v>
      </c>
      <c r="G38" s="142">
        <f ca="1">TblPop[[#This Row],[Military]]/TblPop[[#This Row],[Total]]</f>
        <v>0.12831479897348161</v>
      </c>
      <c r="H38" s="143">
        <f ca="1">MIN(TblPop[[#This Row],[Peasants]],TblPop[[#This Row],[Jobs]])</f>
        <v>1600</v>
      </c>
      <c r="I38" s="142">
        <f ca="1">MIN(OFFSET(TblPop[[#This Row],[Jobs]],1,0)/TblPop[[#This Row],[Peasants]],1)</f>
        <v>0.78508341511285573</v>
      </c>
      <c r="J38" s="143">
        <f ca="1">SUM(TblConstr[[#This Row],[Tot Alc]:[Tot GT]],TblConstr[[#This Row],[Tot Shr]:[Tot Doc]],TblConstr[[#This Row],[Dest Alc]:[Dest GT]],TblConstr[[#This Row],[Dest Shr]:[Dest Doc]])*building_employment</f>
        <v>1600</v>
      </c>
      <c r="K38" s="144"/>
      <c r="L38" s="62">
        <f ca="1">TblPop[[#This Row],[Draftees]]</f>
        <v>100</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61</v>
      </c>
      <c r="Y38" s="97">
        <f ca="1">(TblPop[[#This Row],[Peasants]]-TblPop[[#This Row],[Draft Growth]])*raw_pop_growth</f>
        <v>60.54</v>
      </c>
      <c r="Z38" s="97">
        <f ca="1">IF(TblPop[[#This Row],[Military%]]&lt;TblMili[[#This Row],[Draftrate]],ROUND(TblPop[[#This Row],[Peasants]]*Constants!$B$55,0), 0)</f>
        <v>20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44872.458333333248</v>
      </c>
      <c r="C39" s="97">
        <f ca="1">OFFSET(TblPop[[#This Row],[Peasants]],-1,0)+OFFSET(TblPop[[#This Row],[Net Peasant]],-1,0)+TblMili[[#This Row],[Release Draft]]</f>
        <v>2038</v>
      </c>
      <c r="D39" s="97">
        <f ca="1">TblMili[[#This Row],[Military]]</f>
        <v>300</v>
      </c>
      <c r="E39" s="97">
        <f ca="1">TblMili[[#This Row],[Draftees]]</f>
        <v>100</v>
      </c>
      <c r="F39" s="97">
        <f ca="1">TblPop[[#This Row],[Peasants]]+TblPop[[#This Row],[Military]]</f>
        <v>2338</v>
      </c>
      <c r="G39" s="142">
        <f ca="1">TblPop[[#This Row],[Military]]/TblPop[[#This Row],[Total]]</f>
        <v>0.12831479897348161</v>
      </c>
      <c r="H39" s="143">
        <f ca="1">MIN(TblPop[[#This Row],[Peasants]],TblPop[[#This Row],[Jobs]])</f>
        <v>1600</v>
      </c>
      <c r="I39" s="142">
        <f ca="1">MIN(OFFSET(TblPop[[#This Row],[Jobs]],1,0)/TblPop[[#This Row],[Peasants]],1)</f>
        <v>0.78508341511285573</v>
      </c>
      <c r="J39" s="143">
        <f ca="1">SUM(TblConstr[[#This Row],[Tot Alc]:[Tot GT]],TblConstr[[#This Row],[Tot Shr]:[Tot Doc]],TblConstr[[#This Row],[Dest Alc]:[Dest GT]],TblConstr[[#This Row],[Dest Shr]:[Dest Doc]])*building_employment</f>
        <v>1600</v>
      </c>
      <c r="K39" s="144"/>
      <c r="L39" s="62">
        <f ca="1">TblPop[[#This Row],[Draftees]]</f>
        <v>100</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61</v>
      </c>
      <c r="Y39" s="97">
        <f ca="1">(TblPop[[#This Row],[Peasants]]-TblPop[[#This Row],[Draft Growth]])*raw_pop_growth</f>
        <v>60.54</v>
      </c>
      <c r="Z39" s="97">
        <f ca="1">IF(TblPop[[#This Row],[Military%]]&lt;TblMili[[#This Row],[Draftrate]],ROUND(TblPop[[#This Row],[Peasants]]*Constants!$B$55,0), 0)</f>
        <v>20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44872.499999999913</v>
      </c>
      <c r="C40" s="97">
        <f ca="1">OFFSET(TblPop[[#This Row],[Peasants]],-1,0)+OFFSET(TblPop[[#This Row],[Net Peasant]],-1,0)+TblMili[[#This Row],[Release Draft]]</f>
        <v>2038</v>
      </c>
      <c r="D40" s="97">
        <f ca="1">TblMili[[#This Row],[Military]]</f>
        <v>300</v>
      </c>
      <c r="E40" s="97">
        <f ca="1">TblMili[[#This Row],[Draftees]]</f>
        <v>100</v>
      </c>
      <c r="F40" s="97">
        <f ca="1">TblPop[[#This Row],[Peasants]]+TblPop[[#This Row],[Military]]</f>
        <v>2338</v>
      </c>
      <c r="G40" s="142">
        <f ca="1">TblPop[[#This Row],[Military]]/TblPop[[#This Row],[Total]]</f>
        <v>0.12831479897348161</v>
      </c>
      <c r="H40" s="143">
        <f ca="1">MIN(TblPop[[#This Row],[Peasants]],TblPop[[#This Row],[Jobs]])</f>
        <v>1600</v>
      </c>
      <c r="I40" s="142">
        <f ca="1">MIN(OFFSET(TblPop[[#This Row],[Jobs]],1,0)/TblPop[[#This Row],[Peasants]],1)</f>
        <v>0.78508341511285573</v>
      </c>
      <c r="J40" s="143">
        <f ca="1">SUM(TblConstr[[#This Row],[Tot Alc]:[Tot GT]],TblConstr[[#This Row],[Tot Shr]:[Tot Doc]],TblConstr[[#This Row],[Dest Alc]:[Dest GT]],TblConstr[[#This Row],[Dest Shr]:[Dest Doc]])*building_employment</f>
        <v>1600</v>
      </c>
      <c r="K40" s="144"/>
      <c r="L40" s="62">
        <f ca="1">TblPop[[#This Row],[Draftees]]</f>
        <v>100</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61</v>
      </c>
      <c r="Y40" s="97">
        <f ca="1">(TblPop[[#This Row],[Peasants]]-TblPop[[#This Row],[Draft Growth]])*raw_pop_growth</f>
        <v>60.54</v>
      </c>
      <c r="Z40" s="97">
        <f ca="1">IF(TblPop[[#This Row],[Military%]]&lt;TblMili[[#This Row],[Draftrate]],ROUND(TblPop[[#This Row],[Peasants]]*Constants!$B$55,0), 0)</f>
        <v>20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44872.541666666577</v>
      </c>
      <c r="C41" s="97">
        <f ca="1">OFFSET(TblPop[[#This Row],[Peasants]],-1,0)+OFFSET(TblPop[[#This Row],[Net Peasant]],-1,0)+TblMili[[#This Row],[Release Draft]]</f>
        <v>2038</v>
      </c>
      <c r="D41" s="97">
        <f ca="1">TblMili[[#This Row],[Military]]</f>
        <v>300</v>
      </c>
      <c r="E41" s="97">
        <f ca="1">TblMili[[#This Row],[Draftees]]</f>
        <v>100</v>
      </c>
      <c r="F41" s="97">
        <f ca="1">TblPop[[#This Row],[Peasants]]+TblPop[[#This Row],[Military]]</f>
        <v>2338</v>
      </c>
      <c r="G41" s="142">
        <f ca="1">TblPop[[#This Row],[Military]]/TblPop[[#This Row],[Total]]</f>
        <v>0.12831479897348161</v>
      </c>
      <c r="H41" s="143">
        <f ca="1">MIN(TblPop[[#This Row],[Peasants]],TblPop[[#This Row],[Jobs]])</f>
        <v>1600</v>
      </c>
      <c r="I41" s="142">
        <f ca="1">MIN(OFFSET(TblPop[[#This Row],[Jobs]],1,0)/TblPop[[#This Row],[Peasants]],1)</f>
        <v>0.78508341511285573</v>
      </c>
      <c r="J41" s="143">
        <f ca="1">SUM(TblConstr[[#This Row],[Tot Alc]:[Tot GT]],TblConstr[[#This Row],[Tot Shr]:[Tot Doc]],TblConstr[[#This Row],[Dest Alc]:[Dest GT]],TblConstr[[#This Row],[Dest Shr]:[Dest Doc]])*building_employment</f>
        <v>1600</v>
      </c>
      <c r="K41" s="144"/>
      <c r="L41" s="62">
        <f ca="1">TblPop[[#This Row],[Draftees]]</f>
        <v>100</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61</v>
      </c>
      <c r="Y41" s="97">
        <f ca="1">(TblPop[[#This Row],[Peasants]]-TblPop[[#This Row],[Draft Growth]])*raw_pop_growth</f>
        <v>60.54</v>
      </c>
      <c r="Z41" s="97">
        <f ca="1">IF(TblPop[[#This Row],[Military%]]&lt;TblMili[[#This Row],[Draftrate]],ROUND(TblPop[[#This Row],[Peasants]]*Constants!$B$55,0), 0)</f>
        <v>20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44872.583333333241</v>
      </c>
      <c r="C42" s="97">
        <f ca="1">OFFSET(TblPop[[#This Row],[Peasants]],-1,0)+OFFSET(TblPop[[#This Row],[Net Peasant]],-1,0)+TblMili[[#This Row],[Release Draft]]</f>
        <v>2038</v>
      </c>
      <c r="D42" s="97">
        <f ca="1">TblMili[[#This Row],[Military]]</f>
        <v>300</v>
      </c>
      <c r="E42" s="97">
        <f ca="1">TblMili[[#This Row],[Draftees]]</f>
        <v>100</v>
      </c>
      <c r="F42" s="97">
        <f ca="1">TblPop[[#This Row],[Peasants]]+TblPop[[#This Row],[Military]]</f>
        <v>2338</v>
      </c>
      <c r="G42" s="142">
        <f ca="1">TblPop[[#This Row],[Military]]/TblPop[[#This Row],[Total]]</f>
        <v>0.12831479897348161</v>
      </c>
      <c r="H42" s="143">
        <f ca="1">MIN(TblPop[[#This Row],[Peasants]],TblPop[[#This Row],[Jobs]])</f>
        <v>1600</v>
      </c>
      <c r="I42" s="142">
        <f ca="1">MIN(OFFSET(TblPop[[#This Row],[Jobs]],1,0)/TblPop[[#This Row],[Peasants]],1)</f>
        <v>0.78508341511285573</v>
      </c>
      <c r="J42" s="143">
        <f ca="1">SUM(TblConstr[[#This Row],[Tot Alc]:[Tot GT]],TblConstr[[#This Row],[Tot Shr]:[Tot Doc]],TblConstr[[#This Row],[Dest Alc]:[Dest GT]],TblConstr[[#This Row],[Dest Shr]:[Dest Doc]])*building_employment</f>
        <v>1600</v>
      </c>
      <c r="K42" s="144"/>
      <c r="L42" s="62">
        <f ca="1">TblPop[[#This Row],[Draftees]]</f>
        <v>100</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61</v>
      </c>
      <c r="Y42" s="97">
        <f ca="1">(TblPop[[#This Row],[Peasants]]-TblPop[[#This Row],[Draft Growth]])*raw_pop_growth</f>
        <v>60.54</v>
      </c>
      <c r="Z42" s="97">
        <f ca="1">IF(TblPop[[#This Row],[Military%]]&lt;TblMili[[#This Row],[Draftrate]],ROUND(TblPop[[#This Row],[Peasants]]*Constants!$B$55,0), 0)</f>
        <v>20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44872.624999999905</v>
      </c>
      <c r="C43" s="97">
        <f ca="1">OFFSET(TblPop[[#This Row],[Peasants]],-1,0)+OFFSET(TblPop[[#This Row],[Net Peasant]],-1,0)+TblMili[[#This Row],[Release Draft]]</f>
        <v>2038</v>
      </c>
      <c r="D43" s="97">
        <f ca="1">TblMili[[#This Row],[Military]]</f>
        <v>300</v>
      </c>
      <c r="E43" s="97">
        <f ca="1">TblMili[[#This Row],[Draftees]]</f>
        <v>100</v>
      </c>
      <c r="F43" s="97">
        <f ca="1">TblPop[[#This Row],[Peasants]]+TblPop[[#This Row],[Military]]</f>
        <v>2338</v>
      </c>
      <c r="G43" s="142">
        <f ca="1">TblPop[[#This Row],[Military]]/TblPop[[#This Row],[Total]]</f>
        <v>0.12831479897348161</v>
      </c>
      <c r="H43" s="143">
        <f ca="1">MIN(TblPop[[#This Row],[Peasants]],TblPop[[#This Row],[Jobs]])</f>
        <v>1600</v>
      </c>
      <c r="I43" s="142">
        <f ca="1">MIN(OFFSET(TblPop[[#This Row],[Jobs]],1,0)/TblPop[[#This Row],[Peasants]],1)</f>
        <v>0.78508341511285573</v>
      </c>
      <c r="J43" s="143">
        <f ca="1">SUM(TblConstr[[#This Row],[Tot Alc]:[Tot GT]],TblConstr[[#This Row],[Tot Shr]:[Tot Doc]],TblConstr[[#This Row],[Dest Alc]:[Dest GT]],TblConstr[[#This Row],[Dest Shr]:[Dest Doc]])*building_employment</f>
        <v>1600</v>
      </c>
      <c r="K43" s="144"/>
      <c r="L43" s="62">
        <f ca="1">TblPop[[#This Row],[Draftees]]</f>
        <v>100</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61</v>
      </c>
      <c r="Y43" s="97">
        <f ca="1">(TblPop[[#This Row],[Peasants]]-TblPop[[#This Row],[Draft Growth]])*raw_pop_growth</f>
        <v>60.54</v>
      </c>
      <c r="Z43" s="97">
        <f ca="1">IF(TblPop[[#This Row],[Military%]]&lt;TblMili[[#This Row],[Draftrate]],ROUND(TblPop[[#This Row],[Peasants]]*Constants!$B$55,0), 0)</f>
        <v>20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44872.66666666657</v>
      </c>
      <c r="C44" s="97">
        <f ca="1">OFFSET(TblPop[[#This Row],[Peasants]],-1,0)+OFFSET(TblPop[[#This Row],[Net Peasant]],-1,0)+TblMili[[#This Row],[Release Draft]]</f>
        <v>2038</v>
      </c>
      <c r="D44" s="97">
        <f ca="1">TblMili[[#This Row],[Military]]</f>
        <v>300</v>
      </c>
      <c r="E44" s="97">
        <f ca="1">TblMili[[#This Row],[Draftees]]</f>
        <v>100</v>
      </c>
      <c r="F44" s="97">
        <f ca="1">TblPop[[#This Row],[Peasants]]+TblPop[[#This Row],[Military]]</f>
        <v>2338</v>
      </c>
      <c r="G44" s="142">
        <f ca="1">TblPop[[#This Row],[Military]]/TblPop[[#This Row],[Total]]</f>
        <v>0.12831479897348161</v>
      </c>
      <c r="H44" s="143">
        <f ca="1">MIN(TblPop[[#This Row],[Peasants]],TblPop[[#This Row],[Jobs]])</f>
        <v>1600</v>
      </c>
      <c r="I44" s="142">
        <f ca="1">MIN(OFFSET(TblPop[[#This Row],[Jobs]],1,0)/TblPop[[#This Row],[Peasants]],1)</f>
        <v>0.78508341511285573</v>
      </c>
      <c r="J44" s="143">
        <f ca="1">SUM(TblConstr[[#This Row],[Tot Alc]:[Tot GT]],TblConstr[[#This Row],[Tot Shr]:[Tot Doc]],TblConstr[[#This Row],[Dest Alc]:[Dest GT]],TblConstr[[#This Row],[Dest Shr]:[Dest Doc]])*building_employment</f>
        <v>1600</v>
      </c>
      <c r="K44" s="144"/>
      <c r="L44" s="62">
        <f ca="1">TblPop[[#This Row],[Draftees]]</f>
        <v>100</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61</v>
      </c>
      <c r="Y44" s="97">
        <f ca="1">(TblPop[[#This Row],[Peasants]]-TblPop[[#This Row],[Draft Growth]])*raw_pop_growth</f>
        <v>60.54</v>
      </c>
      <c r="Z44" s="97">
        <f ca="1">IF(TblPop[[#This Row],[Military%]]&lt;TblMili[[#This Row],[Draftrate]],ROUND(TblPop[[#This Row],[Peasants]]*Constants!$B$55,0), 0)</f>
        <v>20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44872.708333333234</v>
      </c>
      <c r="C45" s="97">
        <f ca="1">OFFSET(TblPop[[#This Row],[Peasants]],-1,0)+OFFSET(TblPop[[#This Row],[Net Peasant]],-1,0)+TblMili[[#This Row],[Release Draft]]</f>
        <v>2038</v>
      </c>
      <c r="D45" s="97">
        <f ca="1">TblMili[[#This Row],[Military]]</f>
        <v>300</v>
      </c>
      <c r="E45" s="97">
        <f ca="1">TblMili[[#This Row],[Draftees]]</f>
        <v>100</v>
      </c>
      <c r="F45" s="97">
        <f ca="1">TblPop[[#This Row],[Peasants]]+TblPop[[#This Row],[Military]]</f>
        <v>2338</v>
      </c>
      <c r="G45" s="142">
        <f ca="1">TblPop[[#This Row],[Military]]/TblPop[[#This Row],[Total]]</f>
        <v>0.12831479897348161</v>
      </c>
      <c r="H45" s="143">
        <f ca="1">MIN(TblPop[[#This Row],[Peasants]],TblPop[[#This Row],[Jobs]])</f>
        <v>1600</v>
      </c>
      <c r="I45" s="142">
        <f ca="1">MIN(OFFSET(TblPop[[#This Row],[Jobs]],1,0)/TblPop[[#This Row],[Peasants]],1)</f>
        <v>0.78508341511285573</v>
      </c>
      <c r="J45" s="143">
        <f ca="1">SUM(TblConstr[[#This Row],[Tot Alc]:[Tot GT]],TblConstr[[#This Row],[Tot Shr]:[Tot Doc]],TblConstr[[#This Row],[Dest Alc]:[Dest GT]],TblConstr[[#This Row],[Dest Shr]:[Dest Doc]])*building_employment</f>
        <v>1600</v>
      </c>
      <c r="K45" s="144"/>
      <c r="L45" s="62">
        <f ca="1">TblPop[[#This Row],[Draftees]]</f>
        <v>100</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61</v>
      </c>
      <c r="Y45" s="97">
        <f ca="1">(TblPop[[#This Row],[Peasants]]-TblPop[[#This Row],[Draft Growth]])*raw_pop_growth</f>
        <v>60.54</v>
      </c>
      <c r="Z45" s="97">
        <f ca="1">IF(TblPop[[#This Row],[Military%]]&lt;TblMili[[#This Row],[Draftrate]],ROUND(TblPop[[#This Row],[Peasants]]*Constants!$B$55,0), 0)</f>
        <v>20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44872.749999999898</v>
      </c>
      <c r="C46" s="97">
        <f ca="1">OFFSET(TblPop[[#This Row],[Peasants]],-1,0)+OFFSET(TblPop[[#This Row],[Net Peasant]],-1,0)+TblMili[[#This Row],[Release Draft]]</f>
        <v>2038</v>
      </c>
      <c r="D46" s="97">
        <f ca="1">TblMili[[#This Row],[Military]]</f>
        <v>300</v>
      </c>
      <c r="E46" s="97">
        <f ca="1">TblMili[[#This Row],[Draftees]]</f>
        <v>100</v>
      </c>
      <c r="F46" s="97">
        <f ca="1">TblPop[[#This Row],[Peasants]]+TblPop[[#This Row],[Military]]</f>
        <v>2338</v>
      </c>
      <c r="G46" s="142">
        <f ca="1">TblPop[[#This Row],[Military]]/TblPop[[#This Row],[Total]]</f>
        <v>0.12831479897348161</v>
      </c>
      <c r="H46" s="143">
        <f ca="1">MIN(TblPop[[#This Row],[Peasants]],TblPop[[#This Row],[Jobs]])</f>
        <v>1600</v>
      </c>
      <c r="I46" s="142">
        <f ca="1">MIN(OFFSET(TblPop[[#This Row],[Jobs]],1,0)/TblPop[[#This Row],[Peasants]],1)</f>
        <v>0.78508341511285573</v>
      </c>
      <c r="J46" s="143">
        <f ca="1">SUM(TblConstr[[#This Row],[Tot Alc]:[Tot GT]],TblConstr[[#This Row],[Tot Shr]:[Tot Doc]],TblConstr[[#This Row],[Dest Alc]:[Dest GT]],TblConstr[[#This Row],[Dest Shr]:[Dest Doc]])*building_employment</f>
        <v>1600</v>
      </c>
      <c r="K46" s="144"/>
      <c r="L46" s="62">
        <f ca="1">TblPop[[#This Row],[Draftees]]</f>
        <v>100</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61</v>
      </c>
      <c r="Y46" s="97">
        <f ca="1">(TblPop[[#This Row],[Peasants]]-TblPop[[#This Row],[Draft Growth]])*raw_pop_growth</f>
        <v>60.54</v>
      </c>
      <c r="Z46" s="97">
        <f ca="1">IF(TblPop[[#This Row],[Military%]]&lt;TblMili[[#This Row],[Draftrate]],ROUND(TblPop[[#This Row],[Peasants]]*Constants!$B$55,0), 0)</f>
        <v>20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44872.791666666562</v>
      </c>
      <c r="C47" s="97">
        <f ca="1">OFFSET(TblPop[[#This Row],[Peasants]],-1,0)+OFFSET(TblPop[[#This Row],[Net Peasant]],-1,0)+TblMili[[#This Row],[Release Draft]]</f>
        <v>2038</v>
      </c>
      <c r="D47" s="97">
        <f ca="1">TblMili[[#This Row],[Military]]</f>
        <v>300</v>
      </c>
      <c r="E47" s="97">
        <f ca="1">TblMili[[#This Row],[Draftees]]</f>
        <v>100</v>
      </c>
      <c r="F47" s="97">
        <f ca="1">TblPop[[#This Row],[Peasants]]+TblPop[[#This Row],[Military]]</f>
        <v>2338</v>
      </c>
      <c r="G47" s="142">
        <f ca="1">TblPop[[#This Row],[Military]]/TblPop[[#This Row],[Total]]</f>
        <v>0.12831479897348161</v>
      </c>
      <c r="H47" s="143">
        <f ca="1">MIN(TblPop[[#This Row],[Peasants]],TblPop[[#This Row],[Jobs]])</f>
        <v>1600</v>
      </c>
      <c r="I47" s="142">
        <f ca="1">MIN(OFFSET(TblPop[[#This Row],[Jobs]],1,0)/TblPop[[#This Row],[Peasants]],1)</f>
        <v>0.78508341511285573</v>
      </c>
      <c r="J47" s="143">
        <f ca="1">SUM(TblConstr[[#This Row],[Tot Alc]:[Tot GT]],TblConstr[[#This Row],[Tot Shr]:[Tot Doc]],TblConstr[[#This Row],[Dest Alc]:[Dest GT]],TblConstr[[#This Row],[Dest Shr]:[Dest Doc]])*building_employment</f>
        <v>1600</v>
      </c>
      <c r="K47" s="144"/>
      <c r="L47" s="62">
        <f ca="1">TblPop[[#This Row],[Draftees]]</f>
        <v>100</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61</v>
      </c>
      <c r="Y47" s="97">
        <f ca="1">(TblPop[[#This Row],[Peasants]]-TblPop[[#This Row],[Draft Growth]])*raw_pop_growth</f>
        <v>60.54</v>
      </c>
      <c r="Z47" s="97">
        <f ca="1">IF(TblPop[[#This Row],[Military%]]&lt;TblMili[[#This Row],[Draftrate]],ROUND(TblPop[[#This Row],[Peasants]]*Constants!$B$55,0), 0)</f>
        <v>20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44872.833333333227</v>
      </c>
      <c r="C48" s="97">
        <f ca="1">OFFSET(TblPop[[#This Row],[Peasants]],-1,0)+OFFSET(TblPop[[#This Row],[Net Peasant]],-1,0)+TblMili[[#This Row],[Release Draft]]</f>
        <v>2038</v>
      </c>
      <c r="D48" s="97">
        <f ca="1">TblMili[[#This Row],[Military]]</f>
        <v>300</v>
      </c>
      <c r="E48" s="97">
        <f ca="1">TblMili[[#This Row],[Draftees]]</f>
        <v>100</v>
      </c>
      <c r="F48" s="97">
        <f ca="1">TblPop[[#This Row],[Peasants]]+TblPop[[#This Row],[Military]]</f>
        <v>2338</v>
      </c>
      <c r="G48" s="142">
        <f ca="1">TblPop[[#This Row],[Military]]/TblPop[[#This Row],[Total]]</f>
        <v>0.12831479897348161</v>
      </c>
      <c r="H48" s="143">
        <f ca="1">MIN(TblPop[[#This Row],[Peasants]],TblPop[[#This Row],[Jobs]])</f>
        <v>1600</v>
      </c>
      <c r="I48" s="142">
        <f ca="1">MIN(OFFSET(TblPop[[#This Row],[Jobs]],1,0)/TblPop[[#This Row],[Peasants]],1)</f>
        <v>0.78508341511285573</v>
      </c>
      <c r="J48" s="143">
        <f ca="1">SUM(TblConstr[[#This Row],[Tot Alc]:[Tot GT]],TblConstr[[#This Row],[Tot Shr]:[Tot Doc]],TblConstr[[#This Row],[Dest Alc]:[Dest GT]],TblConstr[[#This Row],[Dest Shr]:[Dest Doc]])*building_employment</f>
        <v>1600</v>
      </c>
      <c r="K48" s="144"/>
      <c r="L48" s="62">
        <f ca="1">TblPop[[#This Row],[Draftees]]</f>
        <v>100</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61</v>
      </c>
      <c r="Y48" s="97">
        <f ca="1">(TblPop[[#This Row],[Peasants]]-TblPop[[#This Row],[Draft Growth]])*raw_pop_growth</f>
        <v>60.54</v>
      </c>
      <c r="Z48" s="97">
        <f ca="1">IF(TblPop[[#This Row],[Military%]]&lt;TblMili[[#This Row],[Draftrate]],ROUND(TblPop[[#This Row],[Peasants]]*Constants!$B$55,0), 0)</f>
        <v>20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44872.874999999891</v>
      </c>
      <c r="C49" s="97">
        <f ca="1">OFFSET(TblPop[[#This Row],[Peasants]],-1,0)+OFFSET(TblPop[[#This Row],[Net Peasant]],-1,0)+TblMili[[#This Row],[Release Draft]]</f>
        <v>2038</v>
      </c>
      <c r="D49" s="97">
        <f ca="1">TblMili[[#This Row],[Military]]</f>
        <v>300</v>
      </c>
      <c r="E49" s="97">
        <f ca="1">TblMili[[#This Row],[Draftees]]</f>
        <v>100</v>
      </c>
      <c r="F49" s="97">
        <f ca="1">TblPop[[#This Row],[Peasants]]+TblPop[[#This Row],[Military]]</f>
        <v>2338</v>
      </c>
      <c r="G49" s="142">
        <f ca="1">TblPop[[#This Row],[Military]]/TblPop[[#This Row],[Total]]</f>
        <v>0.12831479897348161</v>
      </c>
      <c r="H49" s="143">
        <f ca="1">MIN(TblPop[[#This Row],[Peasants]],TblPop[[#This Row],[Jobs]])</f>
        <v>1600</v>
      </c>
      <c r="I49" s="142">
        <f ca="1">MIN(OFFSET(TblPop[[#This Row],[Jobs]],1,0)/TblPop[[#This Row],[Peasants]],1)</f>
        <v>0.78508341511285573</v>
      </c>
      <c r="J49" s="143">
        <f ca="1">SUM(TblConstr[[#This Row],[Tot Alc]:[Tot GT]],TblConstr[[#This Row],[Tot Shr]:[Tot Doc]],TblConstr[[#This Row],[Dest Alc]:[Dest GT]],TblConstr[[#This Row],[Dest Shr]:[Dest Doc]])*building_employment</f>
        <v>1600</v>
      </c>
      <c r="K49" s="144"/>
      <c r="L49" s="62">
        <f ca="1">TblPop[[#This Row],[Draftees]]</f>
        <v>100</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61</v>
      </c>
      <c r="Y49" s="97">
        <f ca="1">(TblPop[[#This Row],[Peasants]]-TblPop[[#This Row],[Draft Growth]])*raw_pop_growth</f>
        <v>60.54</v>
      </c>
      <c r="Z49" s="97">
        <f ca="1">IF(TblPop[[#This Row],[Military%]]&lt;TblMili[[#This Row],[Draftrate]],ROUND(TblPop[[#This Row],[Peasants]]*Constants!$B$55,0), 0)</f>
        <v>20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44872.916666666555</v>
      </c>
      <c r="C50" s="97">
        <f ca="1">OFFSET(TblPop[[#This Row],[Peasants]],-1,0)+OFFSET(TblPop[[#This Row],[Net Peasant]],-1,0)+TblMili[[#This Row],[Release Draft]]</f>
        <v>2038</v>
      </c>
      <c r="D50" s="97">
        <f ca="1">TblMili[[#This Row],[Military]]</f>
        <v>300</v>
      </c>
      <c r="E50" s="97">
        <f ca="1">TblMili[[#This Row],[Draftees]]</f>
        <v>100</v>
      </c>
      <c r="F50" s="97">
        <f ca="1">TblPop[[#This Row],[Peasants]]+TblPop[[#This Row],[Military]]</f>
        <v>2338</v>
      </c>
      <c r="G50" s="142">
        <f ca="1">TblPop[[#This Row],[Military]]/TblPop[[#This Row],[Total]]</f>
        <v>0.12831479897348161</v>
      </c>
      <c r="H50" s="143">
        <f ca="1">MIN(TblPop[[#This Row],[Peasants]],TblPop[[#This Row],[Jobs]])</f>
        <v>1600</v>
      </c>
      <c r="I50" s="142">
        <f ca="1">MIN(OFFSET(TblPop[[#This Row],[Jobs]],1,0)/TblPop[[#This Row],[Peasants]],1)</f>
        <v>0.78508341511285573</v>
      </c>
      <c r="J50" s="143">
        <f ca="1">SUM(TblConstr[[#This Row],[Tot Alc]:[Tot GT]],TblConstr[[#This Row],[Tot Shr]:[Tot Doc]],TblConstr[[#This Row],[Dest Alc]:[Dest GT]],TblConstr[[#This Row],[Dest Shr]:[Dest Doc]])*building_employment</f>
        <v>1600</v>
      </c>
      <c r="K50" s="144"/>
      <c r="L50" s="62">
        <f ca="1">TblPop[[#This Row],[Draftees]]</f>
        <v>100</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61</v>
      </c>
      <c r="Y50" s="97">
        <f ca="1">(TblPop[[#This Row],[Peasants]]-TblPop[[#This Row],[Draft Growth]])*raw_pop_growth</f>
        <v>60.54</v>
      </c>
      <c r="Z50" s="97">
        <f ca="1">IF(TblPop[[#This Row],[Military%]]&lt;TblMili[[#This Row],[Draftrate]],ROUND(TblPop[[#This Row],[Peasants]]*Constants!$B$55,0), 0)</f>
        <v>20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44872.958333333219</v>
      </c>
      <c r="C51" s="97">
        <f ca="1">OFFSET(TblPop[[#This Row],[Peasants]],-1,0)+OFFSET(TblPop[[#This Row],[Net Peasant]],-1,0)+TblMili[[#This Row],[Release Draft]]</f>
        <v>2038</v>
      </c>
      <c r="D51" s="97">
        <f ca="1">TblMili[[#This Row],[Military]]</f>
        <v>300</v>
      </c>
      <c r="E51" s="97">
        <f ca="1">TblMili[[#This Row],[Draftees]]</f>
        <v>100</v>
      </c>
      <c r="F51" s="97">
        <f ca="1">TblPop[[#This Row],[Peasants]]+TblPop[[#This Row],[Military]]</f>
        <v>2338</v>
      </c>
      <c r="G51" s="142">
        <f ca="1">TblPop[[#This Row],[Military]]/TblPop[[#This Row],[Total]]</f>
        <v>0.12831479897348161</v>
      </c>
      <c r="H51" s="143">
        <f ca="1">MIN(TblPop[[#This Row],[Peasants]],TblPop[[#This Row],[Jobs]])</f>
        <v>1600</v>
      </c>
      <c r="I51" s="142">
        <f ca="1">MIN(OFFSET(TblPop[[#This Row],[Jobs]],1,0)/TblPop[[#This Row],[Peasants]],1)</f>
        <v>0.78508341511285573</v>
      </c>
      <c r="J51" s="143">
        <f ca="1">SUM(TblConstr[[#This Row],[Tot Alc]:[Tot GT]],TblConstr[[#This Row],[Tot Shr]:[Tot Doc]],TblConstr[[#This Row],[Dest Alc]:[Dest GT]],TblConstr[[#This Row],[Dest Shr]:[Dest Doc]])*building_employment</f>
        <v>1600</v>
      </c>
      <c r="K51" s="144"/>
      <c r="L51" s="62">
        <f ca="1">TblPop[[#This Row],[Draftees]]</f>
        <v>100</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61</v>
      </c>
      <c r="Y51" s="97">
        <f ca="1">(TblPop[[#This Row],[Peasants]]-TblPop[[#This Row],[Draft Growth]])*raw_pop_growth</f>
        <v>60.54</v>
      </c>
      <c r="Z51" s="97">
        <f ca="1">IF(TblPop[[#This Row],[Military%]]&lt;TblMili[[#This Row],[Draftrate]],ROUND(TblPop[[#This Row],[Peasants]]*Constants!$B$55,0), 0)</f>
        <v>20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44872.999999999884</v>
      </c>
      <c r="C52" s="97">
        <f ca="1">OFFSET(TblPop[[#This Row],[Peasants]],-1,0)+OFFSET(TblPop[[#This Row],[Net Peasant]],-1,0)+TblMili[[#This Row],[Release Draft]]</f>
        <v>2038</v>
      </c>
      <c r="D52" s="97">
        <f ca="1">TblMili[[#This Row],[Military]]</f>
        <v>300</v>
      </c>
      <c r="E52" s="97">
        <f ca="1">TblMili[[#This Row],[Draftees]]</f>
        <v>100</v>
      </c>
      <c r="F52" s="97">
        <f ca="1">TblPop[[#This Row],[Peasants]]+TblPop[[#This Row],[Military]]</f>
        <v>2338</v>
      </c>
      <c r="G52" s="142">
        <f ca="1">TblPop[[#This Row],[Military]]/TblPop[[#This Row],[Total]]</f>
        <v>0.12831479897348161</v>
      </c>
      <c r="H52" s="143">
        <f ca="1">MIN(TblPop[[#This Row],[Peasants]],TblPop[[#This Row],[Jobs]])</f>
        <v>1600</v>
      </c>
      <c r="I52" s="142">
        <f ca="1">MIN(OFFSET(TblPop[[#This Row],[Jobs]],1,0)/TblPop[[#This Row],[Peasants]],1)</f>
        <v>0.78508341511285573</v>
      </c>
      <c r="J52" s="143">
        <f ca="1">SUM(TblConstr[[#This Row],[Tot Alc]:[Tot GT]],TblConstr[[#This Row],[Tot Shr]:[Tot Doc]],TblConstr[[#This Row],[Dest Alc]:[Dest GT]],TblConstr[[#This Row],[Dest Shr]:[Dest Doc]])*building_employment</f>
        <v>1600</v>
      </c>
      <c r="K52" s="144"/>
      <c r="L52" s="62">
        <f ca="1">TblPop[[#This Row],[Draftees]]</f>
        <v>100</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61</v>
      </c>
      <c r="Y52" s="97">
        <f ca="1">(TblPop[[#This Row],[Peasants]]-TblPop[[#This Row],[Draft Growth]])*raw_pop_growth</f>
        <v>60.54</v>
      </c>
      <c r="Z52" s="97">
        <f ca="1">IF(TblPop[[#This Row],[Military%]]&lt;TblMili[[#This Row],[Draftrate]],ROUND(TblPop[[#This Row],[Peasants]]*Constants!$B$55,0), 0)</f>
        <v>20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44873.041666666548</v>
      </c>
      <c r="C53" s="97">
        <f ca="1">OFFSET(TblPop[[#This Row],[Peasants]],-1,0)+OFFSET(TblPop[[#This Row],[Net Peasant]],-1,0)+TblMili[[#This Row],[Release Draft]]</f>
        <v>2038</v>
      </c>
      <c r="D53" s="97">
        <f ca="1">TblMili[[#This Row],[Military]]</f>
        <v>300</v>
      </c>
      <c r="E53" s="97">
        <f ca="1">TblMili[[#This Row],[Draftees]]</f>
        <v>100</v>
      </c>
      <c r="F53" s="97">
        <f ca="1">TblPop[[#This Row],[Peasants]]+TblPop[[#This Row],[Military]]</f>
        <v>2338</v>
      </c>
      <c r="G53" s="142">
        <f ca="1">TblPop[[#This Row],[Military]]/TblPop[[#This Row],[Total]]</f>
        <v>0.12831479897348161</v>
      </c>
      <c r="H53" s="143">
        <f ca="1">MIN(TblPop[[#This Row],[Peasants]],TblPop[[#This Row],[Jobs]])</f>
        <v>1600</v>
      </c>
      <c r="I53" s="142">
        <f ca="1">MIN(OFFSET(TblPop[[#This Row],[Jobs]],1,0)/TblPop[[#This Row],[Peasants]],1)</f>
        <v>0.78508341511285573</v>
      </c>
      <c r="J53" s="143">
        <f ca="1">SUM(TblConstr[[#This Row],[Tot Alc]:[Tot GT]],TblConstr[[#This Row],[Tot Shr]:[Tot Doc]],TblConstr[[#This Row],[Dest Alc]:[Dest GT]],TblConstr[[#This Row],[Dest Shr]:[Dest Doc]])*building_employment</f>
        <v>1600</v>
      </c>
      <c r="K53" s="144"/>
      <c r="L53" s="62">
        <f ca="1">TblPop[[#This Row],[Draftees]]</f>
        <v>100</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61</v>
      </c>
      <c r="Y53" s="97">
        <f ca="1">(TblPop[[#This Row],[Peasants]]-TblPop[[#This Row],[Draft Growth]])*raw_pop_growth</f>
        <v>60.54</v>
      </c>
      <c r="Z53" s="97">
        <f ca="1">IF(TblPop[[#This Row],[Military%]]&lt;TblMili[[#This Row],[Draftrate]],ROUND(TblPop[[#This Row],[Peasants]]*Constants!$B$55,0), 0)</f>
        <v>20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44873.083333333212</v>
      </c>
      <c r="C54" s="97">
        <f ca="1">OFFSET(TblPop[[#This Row],[Peasants]],-1,0)+OFFSET(TblPop[[#This Row],[Net Peasant]],-1,0)+TblMili[[#This Row],[Release Draft]]</f>
        <v>2038</v>
      </c>
      <c r="D54" s="97">
        <f ca="1">TblMili[[#This Row],[Military]]</f>
        <v>300</v>
      </c>
      <c r="E54" s="97">
        <f ca="1">TblMili[[#This Row],[Draftees]]</f>
        <v>100</v>
      </c>
      <c r="F54" s="97">
        <f ca="1">TblPop[[#This Row],[Peasants]]+TblPop[[#This Row],[Military]]</f>
        <v>2338</v>
      </c>
      <c r="G54" s="142">
        <f ca="1">TblPop[[#This Row],[Military]]/TblPop[[#This Row],[Total]]</f>
        <v>0.12831479897348161</v>
      </c>
      <c r="H54" s="143">
        <f ca="1">MIN(TblPop[[#This Row],[Peasants]],TblPop[[#This Row],[Jobs]])</f>
        <v>1600</v>
      </c>
      <c r="I54" s="142">
        <f ca="1">MIN(OFFSET(TblPop[[#This Row],[Jobs]],1,0)/TblPop[[#This Row],[Peasants]],1)</f>
        <v>0.78508341511285573</v>
      </c>
      <c r="J54" s="143">
        <f ca="1">SUM(TblConstr[[#This Row],[Tot Alc]:[Tot GT]],TblConstr[[#This Row],[Tot Shr]:[Tot Doc]],TblConstr[[#This Row],[Dest Alc]:[Dest GT]],TblConstr[[#This Row],[Dest Shr]:[Dest Doc]])*building_employment</f>
        <v>1600</v>
      </c>
      <c r="K54" s="144"/>
      <c r="L54" s="62">
        <f ca="1">TblPop[[#This Row],[Draftees]]</f>
        <v>100</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61</v>
      </c>
      <c r="Y54" s="97">
        <f ca="1">(TblPop[[#This Row],[Peasants]]-TblPop[[#This Row],[Draft Growth]])*raw_pop_growth</f>
        <v>60.54</v>
      </c>
      <c r="Z54" s="97">
        <f ca="1">IF(TblPop[[#This Row],[Military%]]&lt;TblMili[[#This Row],[Draftrate]],ROUND(TblPop[[#This Row],[Peasants]]*Constants!$B$55,0), 0)</f>
        <v>20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44873.124999999876</v>
      </c>
      <c r="C55" s="97">
        <f ca="1">OFFSET(TblPop[[#This Row],[Peasants]],-1,0)+OFFSET(TblPop[[#This Row],[Net Peasant]],-1,0)+TblMili[[#This Row],[Release Draft]]</f>
        <v>2038</v>
      </c>
      <c r="D55" s="97">
        <f ca="1">TblMili[[#This Row],[Military]]</f>
        <v>300</v>
      </c>
      <c r="E55" s="97">
        <f ca="1">TblMili[[#This Row],[Draftees]]</f>
        <v>100</v>
      </c>
      <c r="F55" s="97">
        <f ca="1">TblPop[[#This Row],[Peasants]]+TblPop[[#This Row],[Military]]</f>
        <v>2338</v>
      </c>
      <c r="G55" s="142">
        <f ca="1">TblPop[[#This Row],[Military]]/TblPop[[#This Row],[Total]]</f>
        <v>0.12831479897348161</v>
      </c>
      <c r="H55" s="143">
        <f ca="1">MIN(TblPop[[#This Row],[Peasants]],TblPop[[#This Row],[Jobs]])</f>
        <v>1600</v>
      </c>
      <c r="I55" s="142">
        <f ca="1">MIN(OFFSET(TblPop[[#This Row],[Jobs]],1,0)/TblPop[[#This Row],[Peasants]],1)</f>
        <v>0.78508341511285573</v>
      </c>
      <c r="J55" s="143">
        <f ca="1">SUM(TblConstr[[#This Row],[Tot Alc]:[Tot GT]],TblConstr[[#This Row],[Tot Shr]:[Tot Doc]],TblConstr[[#This Row],[Dest Alc]:[Dest GT]],TblConstr[[#This Row],[Dest Shr]:[Dest Doc]])*building_employment</f>
        <v>1600</v>
      </c>
      <c r="K55" s="144"/>
      <c r="L55" s="62">
        <f ca="1">TblPop[[#This Row],[Draftees]]</f>
        <v>100</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61</v>
      </c>
      <c r="Y55" s="97">
        <f ca="1">(TblPop[[#This Row],[Peasants]]-TblPop[[#This Row],[Draft Growth]])*raw_pop_growth</f>
        <v>60.54</v>
      </c>
      <c r="Z55" s="97">
        <f ca="1">IF(TblPop[[#This Row],[Military%]]&lt;TblMili[[#This Row],[Draftrate]],ROUND(TblPop[[#This Row],[Peasants]]*Constants!$B$55,0), 0)</f>
        <v>20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44873.166666666541</v>
      </c>
      <c r="C56" s="97">
        <f ca="1">OFFSET(TblPop[[#This Row],[Peasants]],-1,0)+OFFSET(TblPop[[#This Row],[Net Peasant]],-1,0)+TblMili[[#This Row],[Release Draft]]</f>
        <v>2038</v>
      </c>
      <c r="D56" s="97">
        <f ca="1">TblMili[[#This Row],[Military]]</f>
        <v>300</v>
      </c>
      <c r="E56" s="97">
        <f ca="1">TblMili[[#This Row],[Draftees]]</f>
        <v>100</v>
      </c>
      <c r="F56" s="97">
        <f ca="1">TblPop[[#This Row],[Peasants]]+TblPop[[#This Row],[Military]]</f>
        <v>2338</v>
      </c>
      <c r="G56" s="142">
        <f ca="1">TblPop[[#This Row],[Military]]/TblPop[[#This Row],[Total]]</f>
        <v>0.12831479897348161</v>
      </c>
      <c r="H56" s="143">
        <f ca="1">MIN(TblPop[[#This Row],[Peasants]],TblPop[[#This Row],[Jobs]])</f>
        <v>1600</v>
      </c>
      <c r="I56" s="142">
        <f ca="1">MIN(OFFSET(TblPop[[#This Row],[Jobs]],1,0)/TblPop[[#This Row],[Peasants]],1)</f>
        <v>0.78508341511285573</v>
      </c>
      <c r="J56" s="143">
        <f ca="1">SUM(TblConstr[[#This Row],[Tot Alc]:[Tot GT]],TblConstr[[#This Row],[Tot Shr]:[Tot Doc]],TblConstr[[#This Row],[Dest Alc]:[Dest GT]],TblConstr[[#This Row],[Dest Shr]:[Dest Doc]])*building_employment</f>
        <v>1600</v>
      </c>
      <c r="K56" s="144"/>
      <c r="L56" s="62">
        <f ca="1">TblPop[[#This Row],[Draftees]]</f>
        <v>100</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61</v>
      </c>
      <c r="Y56" s="97">
        <f ca="1">(TblPop[[#This Row],[Peasants]]-TblPop[[#This Row],[Draft Growth]])*raw_pop_growth</f>
        <v>60.54</v>
      </c>
      <c r="Z56" s="97">
        <f ca="1">IF(TblPop[[#This Row],[Military%]]&lt;TblMili[[#This Row],[Draftrate]],ROUND(TblPop[[#This Row],[Peasants]]*Constants!$B$55,0), 0)</f>
        <v>20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44873.208333333205</v>
      </c>
      <c r="C57" s="97">
        <f ca="1">OFFSET(TblPop[[#This Row],[Peasants]],-1,0)+OFFSET(TblPop[[#This Row],[Net Peasant]],-1,0)+TblMili[[#This Row],[Release Draft]]</f>
        <v>2038</v>
      </c>
      <c r="D57" s="97">
        <f ca="1">TblMili[[#This Row],[Military]]</f>
        <v>300</v>
      </c>
      <c r="E57" s="97">
        <f ca="1">TblMili[[#This Row],[Draftees]]</f>
        <v>100</v>
      </c>
      <c r="F57" s="97">
        <f ca="1">TblPop[[#This Row],[Peasants]]+TblPop[[#This Row],[Military]]</f>
        <v>2338</v>
      </c>
      <c r="G57" s="142">
        <f ca="1">TblPop[[#This Row],[Military]]/TblPop[[#This Row],[Total]]</f>
        <v>0.12831479897348161</v>
      </c>
      <c r="H57" s="143">
        <f ca="1">MIN(TblPop[[#This Row],[Peasants]],TblPop[[#This Row],[Jobs]])</f>
        <v>1600</v>
      </c>
      <c r="I57" s="142">
        <f ca="1">MIN(OFFSET(TblPop[[#This Row],[Jobs]],1,0)/TblPop[[#This Row],[Peasants]],1)</f>
        <v>0.78508341511285573</v>
      </c>
      <c r="J57" s="143">
        <f ca="1">SUM(TblConstr[[#This Row],[Tot Alc]:[Tot GT]],TblConstr[[#This Row],[Tot Shr]:[Tot Doc]],TblConstr[[#This Row],[Dest Alc]:[Dest GT]],TblConstr[[#This Row],[Dest Shr]:[Dest Doc]])*building_employment</f>
        <v>1600</v>
      </c>
      <c r="K57" s="144"/>
      <c r="L57" s="62">
        <f ca="1">TblPop[[#This Row],[Draftees]]</f>
        <v>100</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61</v>
      </c>
      <c r="Y57" s="97">
        <f ca="1">(TblPop[[#This Row],[Peasants]]-TblPop[[#This Row],[Draft Growth]])*raw_pop_growth</f>
        <v>60.54</v>
      </c>
      <c r="Z57" s="97">
        <f ca="1">IF(TblPop[[#This Row],[Military%]]&lt;TblMili[[#This Row],[Draftrate]],ROUND(TblPop[[#This Row],[Peasants]]*Constants!$B$55,0), 0)</f>
        <v>20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44873.249999999869</v>
      </c>
      <c r="C58" s="97">
        <f ca="1">OFFSET(TblPop[[#This Row],[Peasants]],-1,0)+OFFSET(TblPop[[#This Row],[Net Peasant]],-1,0)+TblMili[[#This Row],[Release Draft]]</f>
        <v>2038</v>
      </c>
      <c r="D58" s="97">
        <f ca="1">TblMili[[#This Row],[Military]]</f>
        <v>300</v>
      </c>
      <c r="E58" s="97">
        <f ca="1">TblMili[[#This Row],[Draftees]]</f>
        <v>100</v>
      </c>
      <c r="F58" s="97">
        <f ca="1">TblPop[[#This Row],[Peasants]]+TblPop[[#This Row],[Military]]</f>
        <v>2338</v>
      </c>
      <c r="G58" s="142">
        <f ca="1">TblPop[[#This Row],[Military]]/TblPop[[#This Row],[Total]]</f>
        <v>0.12831479897348161</v>
      </c>
      <c r="H58" s="143">
        <f ca="1">MIN(TblPop[[#This Row],[Peasants]],TblPop[[#This Row],[Jobs]])</f>
        <v>1600</v>
      </c>
      <c r="I58" s="142">
        <f ca="1">MIN(OFFSET(TblPop[[#This Row],[Jobs]],1,0)/TblPop[[#This Row],[Peasants]],1)</f>
        <v>0.78508341511285573</v>
      </c>
      <c r="J58" s="143">
        <f ca="1">SUM(TblConstr[[#This Row],[Tot Alc]:[Tot GT]],TblConstr[[#This Row],[Tot Shr]:[Tot Doc]],TblConstr[[#This Row],[Dest Alc]:[Dest GT]],TblConstr[[#This Row],[Dest Shr]:[Dest Doc]])*building_employment</f>
        <v>1600</v>
      </c>
      <c r="K58" s="144"/>
      <c r="L58" s="62">
        <f ca="1">TblPop[[#This Row],[Draftees]]</f>
        <v>100</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61</v>
      </c>
      <c r="Y58" s="97">
        <f ca="1">(TblPop[[#This Row],[Peasants]]-TblPop[[#This Row],[Draft Growth]])*raw_pop_growth</f>
        <v>60.54</v>
      </c>
      <c r="Z58" s="97">
        <f ca="1">IF(TblPop[[#This Row],[Military%]]&lt;TblMili[[#This Row],[Draftrate]],ROUND(TblPop[[#This Row],[Peasants]]*Constants!$B$55,0), 0)</f>
        <v>20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44873.291666666533</v>
      </c>
      <c r="C59" s="97">
        <f ca="1">OFFSET(TblPop[[#This Row],[Peasants]],-1,0)+OFFSET(TblPop[[#This Row],[Net Peasant]],-1,0)+TblMili[[#This Row],[Release Draft]]</f>
        <v>2038</v>
      </c>
      <c r="D59" s="97">
        <f ca="1">TblMili[[#This Row],[Military]]</f>
        <v>300</v>
      </c>
      <c r="E59" s="97">
        <f ca="1">TblMili[[#This Row],[Draftees]]</f>
        <v>100</v>
      </c>
      <c r="F59" s="97">
        <f ca="1">TblPop[[#This Row],[Peasants]]+TblPop[[#This Row],[Military]]</f>
        <v>2338</v>
      </c>
      <c r="G59" s="142">
        <f ca="1">TblPop[[#This Row],[Military]]/TblPop[[#This Row],[Total]]</f>
        <v>0.12831479897348161</v>
      </c>
      <c r="H59" s="143">
        <f ca="1">MIN(TblPop[[#This Row],[Peasants]],TblPop[[#This Row],[Jobs]])</f>
        <v>1600</v>
      </c>
      <c r="I59" s="142">
        <f ca="1">MIN(OFFSET(TblPop[[#This Row],[Jobs]],1,0)/TblPop[[#This Row],[Peasants]],1)</f>
        <v>0.78508341511285573</v>
      </c>
      <c r="J59" s="143">
        <f ca="1">SUM(TblConstr[[#This Row],[Tot Alc]:[Tot GT]],TblConstr[[#This Row],[Tot Shr]:[Tot Doc]],TblConstr[[#This Row],[Dest Alc]:[Dest GT]],TblConstr[[#This Row],[Dest Shr]:[Dest Doc]])*building_employment</f>
        <v>1600</v>
      </c>
      <c r="K59" s="144"/>
      <c r="L59" s="62">
        <f ca="1">TblPop[[#This Row],[Draftees]]</f>
        <v>100</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61</v>
      </c>
      <c r="Y59" s="97">
        <f ca="1">(TblPop[[#This Row],[Peasants]]-TblPop[[#This Row],[Draft Growth]])*raw_pop_growth</f>
        <v>60.54</v>
      </c>
      <c r="Z59" s="97">
        <f ca="1">IF(TblPop[[#This Row],[Military%]]&lt;TblMili[[#This Row],[Draftrate]],ROUND(TblPop[[#This Row],[Peasants]]*Constants!$B$55,0), 0)</f>
        <v>20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44873.333333333198</v>
      </c>
      <c r="C60" s="97">
        <f ca="1">OFFSET(TblPop[[#This Row],[Peasants]],-1,0)+OFFSET(TblPop[[#This Row],[Net Peasant]],-1,0)+TblMili[[#This Row],[Release Draft]]</f>
        <v>2038</v>
      </c>
      <c r="D60" s="97">
        <f ca="1">TblMili[[#This Row],[Military]]</f>
        <v>300</v>
      </c>
      <c r="E60" s="97">
        <f ca="1">TblMili[[#This Row],[Draftees]]</f>
        <v>100</v>
      </c>
      <c r="F60" s="97">
        <f ca="1">TblPop[[#This Row],[Peasants]]+TblPop[[#This Row],[Military]]</f>
        <v>2338</v>
      </c>
      <c r="G60" s="142">
        <f ca="1">TblPop[[#This Row],[Military]]/TblPop[[#This Row],[Total]]</f>
        <v>0.12831479897348161</v>
      </c>
      <c r="H60" s="143">
        <f ca="1">MIN(TblPop[[#This Row],[Peasants]],TblPop[[#This Row],[Jobs]])</f>
        <v>1600</v>
      </c>
      <c r="I60" s="142">
        <f ca="1">MIN(OFFSET(TblPop[[#This Row],[Jobs]],1,0)/TblPop[[#This Row],[Peasants]],1)</f>
        <v>0.78508341511285573</v>
      </c>
      <c r="J60" s="143">
        <f ca="1">SUM(TblConstr[[#This Row],[Tot Alc]:[Tot GT]],TblConstr[[#This Row],[Tot Shr]:[Tot Doc]],TblConstr[[#This Row],[Dest Alc]:[Dest GT]],TblConstr[[#This Row],[Dest Shr]:[Dest Doc]])*building_employment</f>
        <v>1600</v>
      </c>
      <c r="K60" s="144"/>
      <c r="L60" s="62">
        <f ca="1">TblPop[[#This Row],[Draftees]]</f>
        <v>100</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61</v>
      </c>
      <c r="Y60" s="97">
        <f ca="1">(TblPop[[#This Row],[Peasants]]-TblPop[[#This Row],[Draft Growth]])*raw_pop_growth</f>
        <v>60.54</v>
      </c>
      <c r="Z60" s="97">
        <f ca="1">IF(TblPop[[#This Row],[Military%]]&lt;TblMili[[#This Row],[Draftrate]],ROUND(TblPop[[#This Row],[Peasants]]*Constants!$B$55,0), 0)</f>
        <v>20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44873.374999999862</v>
      </c>
      <c r="C61" s="97">
        <f ca="1">OFFSET(TblPop[[#This Row],[Peasants]],-1,0)+OFFSET(TblPop[[#This Row],[Net Peasant]],-1,0)+TblMili[[#This Row],[Release Draft]]</f>
        <v>2038</v>
      </c>
      <c r="D61" s="97">
        <f ca="1">TblMili[[#This Row],[Military]]</f>
        <v>300</v>
      </c>
      <c r="E61" s="97">
        <f ca="1">TblMili[[#This Row],[Draftees]]</f>
        <v>100</v>
      </c>
      <c r="F61" s="97">
        <f ca="1">TblPop[[#This Row],[Peasants]]+TblPop[[#This Row],[Military]]</f>
        <v>2338</v>
      </c>
      <c r="G61" s="142">
        <f ca="1">TblPop[[#This Row],[Military]]/TblPop[[#This Row],[Total]]</f>
        <v>0.12831479897348161</v>
      </c>
      <c r="H61" s="143">
        <f ca="1">MIN(TblPop[[#This Row],[Peasants]],TblPop[[#This Row],[Jobs]])</f>
        <v>1600</v>
      </c>
      <c r="I61" s="142">
        <f ca="1">MIN(OFFSET(TblPop[[#This Row],[Jobs]],1,0)/TblPop[[#This Row],[Peasants]],1)</f>
        <v>0.78508341511285573</v>
      </c>
      <c r="J61" s="143">
        <f ca="1">SUM(TblConstr[[#This Row],[Tot Alc]:[Tot GT]],TblConstr[[#This Row],[Tot Shr]:[Tot Doc]],TblConstr[[#This Row],[Dest Alc]:[Dest GT]],TblConstr[[#This Row],[Dest Shr]:[Dest Doc]])*building_employment</f>
        <v>1600</v>
      </c>
      <c r="K61" s="144"/>
      <c r="L61" s="62">
        <f ca="1">TblPop[[#This Row],[Draftees]]</f>
        <v>100</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61</v>
      </c>
      <c r="Y61" s="97">
        <f ca="1">(TblPop[[#This Row],[Peasants]]-TblPop[[#This Row],[Draft Growth]])*raw_pop_growth</f>
        <v>60.54</v>
      </c>
      <c r="Z61" s="97">
        <f ca="1">IF(TblPop[[#This Row],[Military%]]&lt;TblMili[[#This Row],[Draftrate]],ROUND(TblPop[[#This Row],[Peasants]]*Constants!$B$55,0), 0)</f>
        <v>20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44873.416666666526</v>
      </c>
      <c r="C62" s="97">
        <f ca="1">OFFSET(TblPop[[#This Row],[Peasants]],-1,0)+OFFSET(TblPop[[#This Row],[Net Peasant]],-1,0)+TblMili[[#This Row],[Release Draft]]</f>
        <v>2038</v>
      </c>
      <c r="D62" s="97">
        <f ca="1">TblMili[[#This Row],[Military]]</f>
        <v>300</v>
      </c>
      <c r="E62" s="97">
        <f ca="1">TblMili[[#This Row],[Draftees]]</f>
        <v>100</v>
      </c>
      <c r="F62" s="97">
        <f ca="1">TblPop[[#This Row],[Peasants]]+TblPop[[#This Row],[Military]]</f>
        <v>2338</v>
      </c>
      <c r="G62" s="142">
        <f ca="1">TblPop[[#This Row],[Military]]/TblPop[[#This Row],[Total]]</f>
        <v>0.12831479897348161</v>
      </c>
      <c r="H62" s="143">
        <f ca="1">MIN(TblPop[[#This Row],[Peasants]],TblPop[[#This Row],[Jobs]])</f>
        <v>1600</v>
      </c>
      <c r="I62" s="142">
        <f ca="1">MIN(OFFSET(TblPop[[#This Row],[Jobs]],1,0)/TblPop[[#This Row],[Peasants]],1)</f>
        <v>0.78508341511285573</v>
      </c>
      <c r="J62" s="143">
        <f ca="1">SUM(TblConstr[[#This Row],[Tot Alc]:[Tot GT]],TblConstr[[#This Row],[Tot Shr]:[Tot Doc]],TblConstr[[#This Row],[Dest Alc]:[Dest GT]],TblConstr[[#This Row],[Dest Shr]:[Dest Doc]])*building_employment</f>
        <v>1600</v>
      </c>
      <c r="K62" s="144"/>
      <c r="L62" s="62">
        <f ca="1">TblPop[[#This Row],[Draftees]]</f>
        <v>100</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61</v>
      </c>
      <c r="Y62" s="97">
        <f ca="1">(TblPop[[#This Row],[Peasants]]-TblPop[[#This Row],[Draft Growth]])*raw_pop_growth</f>
        <v>60.54</v>
      </c>
      <c r="Z62" s="97">
        <f ca="1">IF(TblPop[[#This Row],[Military%]]&lt;TblMili[[#This Row],[Draftrate]],ROUND(TblPop[[#This Row],[Peasants]]*Constants!$B$55,0), 0)</f>
        <v>20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44873.45833333319</v>
      </c>
      <c r="C63" s="97">
        <f ca="1">OFFSET(TblPop[[#This Row],[Peasants]],-1,0)+OFFSET(TblPop[[#This Row],[Net Peasant]],-1,0)+TblMili[[#This Row],[Release Draft]]</f>
        <v>2038</v>
      </c>
      <c r="D63" s="97">
        <f ca="1">TblMili[[#This Row],[Military]]</f>
        <v>300</v>
      </c>
      <c r="E63" s="97">
        <f ca="1">TblMili[[#This Row],[Draftees]]</f>
        <v>100</v>
      </c>
      <c r="F63" s="97">
        <f ca="1">TblPop[[#This Row],[Peasants]]+TblPop[[#This Row],[Military]]</f>
        <v>2338</v>
      </c>
      <c r="G63" s="142">
        <f ca="1">TblPop[[#This Row],[Military]]/TblPop[[#This Row],[Total]]</f>
        <v>0.12831479897348161</v>
      </c>
      <c r="H63" s="143">
        <f ca="1">MIN(TblPop[[#This Row],[Peasants]],TblPop[[#This Row],[Jobs]])</f>
        <v>1600</v>
      </c>
      <c r="I63" s="142">
        <f ca="1">MIN(OFFSET(TblPop[[#This Row],[Jobs]],1,0)/TblPop[[#This Row],[Peasants]],1)</f>
        <v>0.78508341511285573</v>
      </c>
      <c r="J63" s="143">
        <f ca="1">SUM(TblConstr[[#This Row],[Tot Alc]:[Tot GT]],TblConstr[[#This Row],[Tot Shr]:[Tot Doc]],TblConstr[[#This Row],[Dest Alc]:[Dest GT]],TblConstr[[#This Row],[Dest Shr]:[Dest Doc]])*building_employment</f>
        <v>1600</v>
      </c>
      <c r="K63" s="144"/>
      <c r="L63" s="62">
        <f ca="1">TblPop[[#This Row],[Draftees]]</f>
        <v>100</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61</v>
      </c>
      <c r="Y63" s="97">
        <f ca="1">(TblPop[[#This Row],[Peasants]]-TblPop[[#This Row],[Draft Growth]])*raw_pop_growth</f>
        <v>60.54</v>
      </c>
      <c r="Z63" s="97">
        <f ca="1">IF(TblPop[[#This Row],[Military%]]&lt;TblMili[[#This Row],[Draftrate]],ROUND(TblPop[[#This Row],[Peasants]]*Constants!$B$55,0), 0)</f>
        <v>20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44873.499999999854</v>
      </c>
      <c r="C64" s="97">
        <f ca="1">OFFSET(TblPop[[#This Row],[Peasants]],-1,0)+OFFSET(TblPop[[#This Row],[Net Peasant]],-1,0)+TblMili[[#This Row],[Release Draft]]</f>
        <v>2038</v>
      </c>
      <c r="D64" s="97">
        <f ca="1">TblMili[[#This Row],[Military]]</f>
        <v>300</v>
      </c>
      <c r="E64" s="97">
        <f ca="1">TblMili[[#This Row],[Draftees]]</f>
        <v>100</v>
      </c>
      <c r="F64" s="97">
        <f ca="1">TblPop[[#This Row],[Peasants]]+TblPop[[#This Row],[Military]]</f>
        <v>2338</v>
      </c>
      <c r="G64" s="142">
        <f ca="1">TblPop[[#This Row],[Military]]/TblPop[[#This Row],[Total]]</f>
        <v>0.12831479897348161</v>
      </c>
      <c r="H64" s="143">
        <f ca="1">MIN(TblPop[[#This Row],[Peasants]],TblPop[[#This Row],[Jobs]])</f>
        <v>1600</v>
      </c>
      <c r="I64" s="142">
        <f ca="1">MIN(OFFSET(TblPop[[#This Row],[Jobs]],1,0)/TblPop[[#This Row],[Peasants]],1)</f>
        <v>0.78508341511285573</v>
      </c>
      <c r="J64" s="143">
        <f ca="1">SUM(TblConstr[[#This Row],[Tot Alc]:[Tot GT]],TblConstr[[#This Row],[Tot Shr]:[Tot Doc]],TblConstr[[#This Row],[Dest Alc]:[Dest GT]],TblConstr[[#This Row],[Dest Shr]:[Dest Doc]])*building_employment</f>
        <v>1600</v>
      </c>
      <c r="K64" s="144"/>
      <c r="L64" s="62">
        <f ca="1">TblPop[[#This Row],[Draftees]]</f>
        <v>100</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61</v>
      </c>
      <c r="Y64" s="97">
        <f ca="1">(TblPop[[#This Row],[Peasants]]-TblPop[[#This Row],[Draft Growth]])*raw_pop_growth</f>
        <v>60.54</v>
      </c>
      <c r="Z64" s="97">
        <f ca="1">IF(TblPop[[#This Row],[Military%]]&lt;TblMili[[#This Row],[Draftrate]],ROUND(TblPop[[#This Row],[Peasants]]*Constants!$B$55,0), 0)</f>
        <v>20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44873.541666666519</v>
      </c>
      <c r="C65" s="97">
        <f ca="1">OFFSET(TblPop[[#This Row],[Peasants]],-1,0)+OFFSET(TblPop[[#This Row],[Net Peasant]],-1,0)+TblMili[[#This Row],[Release Draft]]</f>
        <v>2038</v>
      </c>
      <c r="D65" s="97">
        <f ca="1">TblMili[[#This Row],[Military]]</f>
        <v>300</v>
      </c>
      <c r="E65" s="97">
        <f ca="1">TblMili[[#This Row],[Draftees]]</f>
        <v>100</v>
      </c>
      <c r="F65" s="97">
        <f ca="1">TblPop[[#This Row],[Peasants]]+TblPop[[#This Row],[Military]]</f>
        <v>2338</v>
      </c>
      <c r="G65" s="142">
        <f ca="1">TblPop[[#This Row],[Military]]/TblPop[[#This Row],[Total]]</f>
        <v>0.12831479897348161</v>
      </c>
      <c r="H65" s="143">
        <f ca="1">MIN(TblPop[[#This Row],[Peasants]],TblPop[[#This Row],[Jobs]])</f>
        <v>1600</v>
      </c>
      <c r="I65" s="142">
        <f ca="1">MIN(OFFSET(TblPop[[#This Row],[Jobs]],1,0)/TblPop[[#This Row],[Peasants]],1)</f>
        <v>0.78508341511285573</v>
      </c>
      <c r="J65" s="143">
        <f ca="1">SUM(TblConstr[[#This Row],[Tot Alc]:[Tot GT]],TblConstr[[#This Row],[Tot Shr]:[Tot Doc]],TblConstr[[#This Row],[Dest Alc]:[Dest GT]],TblConstr[[#This Row],[Dest Shr]:[Dest Doc]])*building_employment</f>
        <v>1600</v>
      </c>
      <c r="K65" s="144"/>
      <c r="L65" s="62">
        <f ca="1">TblPop[[#This Row],[Draftees]]</f>
        <v>100</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61</v>
      </c>
      <c r="Y65" s="97">
        <f ca="1">(TblPop[[#This Row],[Peasants]]-TblPop[[#This Row],[Draft Growth]])*raw_pop_growth</f>
        <v>60.54</v>
      </c>
      <c r="Z65" s="97">
        <f ca="1">IF(TblPop[[#This Row],[Military%]]&lt;TblMili[[#This Row],[Draftrate]],ROUND(TblPop[[#This Row],[Peasants]]*Constants!$B$55,0), 0)</f>
        <v>20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44873.583333333183</v>
      </c>
      <c r="C66" s="97">
        <f ca="1">OFFSET(TblPop[[#This Row],[Peasants]],-1,0)+OFFSET(TblPop[[#This Row],[Net Peasant]],-1,0)+TblMili[[#This Row],[Release Draft]]</f>
        <v>2038</v>
      </c>
      <c r="D66" s="97">
        <f ca="1">TblMili[[#This Row],[Military]]</f>
        <v>300</v>
      </c>
      <c r="E66" s="97">
        <f ca="1">TblMili[[#This Row],[Draftees]]</f>
        <v>100</v>
      </c>
      <c r="F66" s="97">
        <f ca="1">TblPop[[#This Row],[Peasants]]+TblPop[[#This Row],[Military]]</f>
        <v>2338</v>
      </c>
      <c r="G66" s="142">
        <f ca="1">TblPop[[#This Row],[Military]]/TblPop[[#This Row],[Total]]</f>
        <v>0.12831479897348161</v>
      </c>
      <c r="H66" s="143">
        <f ca="1">MIN(TblPop[[#This Row],[Peasants]],TblPop[[#This Row],[Jobs]])</f>
        <v>1600</v>
      </c>
      <c r="I66" s="142">
        <f ca="1">MIN(OFFSET(TblPop[[#This Row],[Jobs]],1,0)/TblPop[[#This Row],[Peasants]],1)</f>
        <v>0.78508341511285573</v>
      </c>
      <c r="J66" s="143">
        <f ca="1">SUM(TblConstr[[#This Row],[Tot Alc]:[Tot GT]],TblConstr[[#This Row],[Tot Shr]:[Tot Doc]],TblConstr[[#This Row],[Dest Alc]:[Dest GT]],TblConstr[[#This Row],[Dest Shr]:[Dest Doc]])*building_employment</f>
        <v>1600</v>
      </c>
      <c r="K66" s="144"/>
      <c r="L66" s="62">
        <f ca="1">TblPop[[#This Row],[Draftees]]</f>
        <v>100</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61</v>
      </c>
      <c r="Y66" s="97">
        <f ca="1">(TblPop[[#This Row],[Peasants]]-TblPop[[#This Row],[Draft Growth]])*raw_pop_growth</f>
        <v>60.54</v>
      </c>
      <c r="Z66" s="97">
        <f ca="1">IF(TblPop[[#This Row],[Military%]]&lt;TblMili[[#This Row],[Draftrate]],ROUND(TblPop[[#This Row],[Peasants]]*Constants!$B$55,0), 0)</f>
        <v>20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44873.624999999847</v>
      </c>
      <c r="C67" s="97">
        <f ca="1">OFFSET(TblPop[[#This Row],[Peasants]],-1,0)+OFFSET(TblPop[[#This Row],[Net Peasant]],-1,0)+TblMili[[#This Row],[Release Draft]]</f>
        <v>2038</v>
      </c>
      <c r="D67" s="97">
        <f ca="1">TblMili[[#This Row],[Military]]</f>
        <v>300</v>
      </c>
      <c r="E67" s="97">
        <f ca="1">TblMili[[#This Row],[Draftees]]</f>
        <v>100</v>
      </c>
      <c r="F67" s="97">
        <f ca="1">TblPop[[#This Row],[Peasants]]+TblPop[[#This Row],[Military]]</f>
        <v>2338</v>
      </c>
      <c r="G67" s="142">
        <f ca="1">TblPop[[#This Row],[Military]]/TblPop[[#This Row],[Total]]</f>
        <v>0.12831479897348161</v>
      </c>
      <c r="H67" s="143">
        <f ca="1">MIN(TblPop[[#This Row],[Peasants]],TblPop[[#This Row],[Jobs]])</f>
        <v>1600</v>
      </c>
      <c r="I67" s="142">
        <f ca="1">MIN(OFFSET(TblPop[[#This Row],[Jobs]],1,0)/TblPop[[#This Row],[Peasants]],1)</f>
        <v>0.78508341511285573</v>
      </c>
      <c r="J67" s="143">
        <f ca="1">SUM(TblConstr[[#This Row],[Tot Alc]:[Tot GT]],TblConstr[[#This Row],[Tot Shr]:[Tot Doc]],TblConstr[[#This Row],[Dest Alc]:[Dest GT]],TblConstr[[#This Row],[Dest Shr]:[Dest Doc]])*building_employment</f>
        <v>1600</v>
      </c>
      <c r="K67" s="144"/>
      <c r="L67" s="62">
        <f ca="1">TblPop[[#This Row],[Draftees]]</f>
        <v>100</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61</v>
      </c>
      <c r="Y67" s="97">
        <f ca="1">(TblPop[[#This Row],[Peasants]]-TblPop[[#This Row],[Draft Growth]])*raw_pop_growth</f>
        <v>60.54</v>
      </c>
      <c r="Z67" s="97">
        <f ca="1">IF(TblPop[[#This Row],[Military%]]&lt;TblMili[[#This Row],[Draftrate]],ROUND(TblPop[[#This Row],[Peasants]]*Constants!$B$55,0), 0)</f>
        <v>20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44873.666666666511</v>
      </c>
      <c r="C68" s="97">
        <f ca="1">OFFSET(TblPop[[#This Row],[Peasants]],-1,0)+OFFSET(TblPop[[#This Row],[Net Peasant]],-1,0)+TblMili[[#This Row],[Release Draft]]</f>
        <v>2038</v>
      </c>
      <c r="D68" s="97">
        <f ca="1">TblMili[[#This Row],[Military]]</f>
        <v>300</v>
      </c>
      <c r="E68" s="97">
        <f ca="1">TblMili[[#This Row],[Draftees]]</f>
        <v>100</v>
      </c>
      <c r="F68" s="97">
        <f ca="1">TblPop[[#This Row],[Peasants]]+TblPop[[#This Row],[Military]]</f>
        <v>2338</v>
      </c>
      <c r="G68" s="142">
        <f ca="1">TblPop[[#This Row],[Military]]/TblPop[[#This Row],[Total]]</f>
        <v>0.12831479897348161</v>
      </c>
      <c r="H68" s="143">
        <f ca="1">MIN(TblPop[[#This Row],[Peasants]],TblPop[[#This Row],[Jobs]])</f>
        <v>1600</v>
      </c>
      <c r="I68" s="142">
        <f ca="1">MIN(OFFSET(TblPop[[#This Row],[Jobs]],1,0)/TblPop[[#This Row],[Peasants]],1)</f>
        <v>0.78508341511285573</v>
      </c>
      <c r="J68" s="143">
        <f ca="1">SUM(TblConstr[[#This Row],[Tot Alc]:[Tot GT]],TblConstr[[#This Row],[Tot Shr]:[Tot Doc]],TblConstr[[#This Row],[Dest Alc]:[Dest GT]],TblConstr[[#This Row],[Dest Shr]:[Dest Doc]])*building_employment</f>
        <v>1600</v>
      </c>
      <c r="K68" s="144"/>
      <c r="L68" s="62">
        <f ca="1">TblPop[[#This Row],[Draftees]]</f>
        <v>100</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61</v>
      </c>
      <c r="Y68" s="97">
        <f ca="1">(TblPop[[#This Row],[Peasants]]-TblPop[[#This Row],[Draft Growth]])*raw_pop_growth</f>
        <v>60.54</v>
      </c>
      <c r="Z68" s="97">
        <f ca="1">IF(TblPop[[#This Row],[Military%]]&lt;TblMili[[#This Row],[Draftrate]],ROUND(TblPop[[#This Row],[Peasants]]*Constants!$B$55,0), 0)</f>
        <v>20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44873.708333333176</v>
      </c>
      <c r="C69" s="97">
        <f ca="1">OFFSET(TblPop[[#This Row],[Peasants]],-1,0)+OFFSET(TblPop[[#This Row],[Net Peasant]],-1,0)+TblMili[[#This Row],[Release Draft]]</f>
        <v>2038</v>
      </c>
      <c r="D69" s="97">
        <f ca="1">TblMili[[#This Row],[Military]]</f>
        <v>300</v>
      </c>
      <c r="E69" s="97">
        <f ca="1">TblMili[[#This Row],[Draftees]]</f>
        <v>100</v>
      </c>
      <c r="F69" s="97">
        <f ca="1">TblPop[[#This Row],[Peasants]]+TblPop[[#This Row],[Military]]</f>
        <v>2338</v>
      </c>
      <c r="G69" s="142">
        <f ca="1">TblPop[[#This Row],[Military]]/TblPop[[#This Row],[Total]]</f>
        <v>0.12831479897348161</v>
      </c>
      <c r="H69" s="143">
        <f ca="1">MIN(TblPop[[#This Row],[Peasants]],TblPop[[#This Row],[Jobs]])</f>
        <v>1600</v>
      </c>
      <c r="I69" s="142">
        <f ca="1">MIN(OFFSET(TblPop[[#This Row],[Jobs]],1,0)/TblPop[[#This Row],[Peasants]],1)</f>
        <v>0.78508341511285573</v>
      </c>
      <c r="J69" s="143">
        <f ca="1">SUM(TblConstr[[#This Row],[Tot Alc]:[Tot GT]],TblConstr[[#This Row],[Tot Shr]:[Tot Doc]],TblConstr[[#This Row],[Dest Alc]:[Dest GT]],TblConstr[[#This Row],[Dest Shr]:[Dest Doc]])*building_employment</f>
        <v>1600</v>
      </c>
      <c r="K69" s="144"/>
      <c r="L69" s="62">
        <f ca="1">TblPop[[#This Row],[Draftees]]</f>
        <v>100</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61</v>
      </c>
      <c r="Y69" s="97">
        <f ca="1">(TblPop[[#This Row],[Peasants]]-TblPop[[#This Row],[Draft Growth]])*raw_pop_growth</f>
        <v>60.54</v>
      </c>
      <c r="Z69" s="97">
        <f ca="1">IF(TblPop[[#This Row],[Military%]]&lt;TblMili[[#This Row],[Draftrate]],ROUND(TblPop[[#This Row],[Peasants]]*Constants!$B$55,0), 0)</f>
        <v>20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44873.74999999984</v>
      </c>
      <c r="C70" s="97">
        <f ca="1">OFFSET(TblPop[[#This Row],[Peasants]],-1,0)+OFFSET(TblPop[[#This Row],[Net Peasant]],-1,0)+TblMili[[#This Row],[Release Draft]]</f>
        <v>2038</v>
      </c>
      <c r="D70" s="97">
        <f ca="1">TblMili[[#This Row],[Military]]</f>
        <v>300</v>
      </c>
      <c r="E70" s="97">
        <f ca="1">TblMili[[#This Row],[Draftees]]</f>
        <v>100</v>
      </c>
      <c r="F70" s="97">
        <f ca="1">TblPop[[#This Row],[Peasants]]+TblPop[[#This Row],[Military]]</f>
        <v>2338</v>
      </c>
      <c r="G70" s="142">
        <f ca="1">TblPop[[#This Row],[Military]]/TblPop[[#This Row],[Total]]</f>
        <v>0.12831479897348161</v>
      </c>
      <c r="H70" s="143">
        <f ca="1">MIN(TblPop[[#This Row],[Peasants]],TblPop[[#This Row],[Jobs]])</f>
        <v>1600</v>
      </c>
      <c r="I70" s="142">
        <f ca="1">MIN(OFFSET(TblPop[[#This Row],[Jobs]],1,0)/TblPop[[#This Row],[Peasants]],1)</f>
        <v>0.78508341511285573</v>
      </c>
      <c r="J70" s="143">
        <f ca="1">SUM(TblConstr[[#This Row],[Tot Alc]:[Tot GT]],TblConstr[[#This Row],[Tot Shr]:[Tot Doc]],TblConstr[[#This Row],[Dest Alc]:[Dest GT]],TblConstr[[#This Row],[Dest Shr]:[Dest Doc]])*building_employment</f>
        <v>1600</v>
      </c>
      <c r="K70" s="144"/>
      <c r="L70" s="62">
        <f ca="1">TblPop[[#This Row],[Draftees]]</f>
        <v>100</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61</v>
      </c>
      <c r="Y70" s="97">
        <f ca="1">(TblPop[[#This Row],[Peasants]]-TblPop[[#This Row],[Draft Growth]])*raw_pop_growth</f>
        <v>60.54</v>
      </c>
      <c r="Z70" s="97">
        <f ca="1">IF(TblPop[[#This Row],[Military%]]&lt;TblMili[[#This Row],[Draftrate]],ROUND(TblPop[[#This Row],[Peasants]]*Constants!$B$55,0), 0)</f>
        <v>20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44873.791666666504</v>
      </c>
      <c r="C71" s="97">
        <f ca="1">OFFSET(TblPop[[#This Row],[Peasants]],-1,0)+OFFSET(TblPop[[#This Row],[Net Peasant]],-1,0)+TblMili[[#This Row],[Release Draft]]</f>
        <v>2038</v>
      </c>
      <c r="D71" s="97">
        <f ca="1">TblMili[[#This Row],[Military]]</f>
        <v>300</v>
      </c>
      <c r="E71" s="97">
        <f ca="1">TblMili[[#This Row],[Draftees]]</f>
        <v>100</v>
      </c>
      <c r="F71" s="97">
        <f ca="1">TblPop[[#This Row],[Peasants]]+TblPop[[#This Row],[Military]]</f>
        <v>2338</v>
      </c>
      <c r="G71" s="142">
        <f ca="1">TblPop[[#This Row],[Military]]/TblPop[[#This Row],[Total]]</f>
        <v>0.12831479897348161</v>
      </c>
      <c r="H71" s="143">
        <f ca="1">MIN(TblPop[[#This Row],[Peasants]],TblPop[[#This Row],[Jobs]])</f>
        <v>1600</v>
      </c>
      <c r="I71" s="142">
        <f ca="1">MIN(OFFSET(TblPop[[#This Row],[Jobs]],1,0)/TblPop[[#This Row],[Peasants]],1)</f>
        <v>0.78508341511285573</v>
      </c>
      <c r="J71" s="143">
        <f ca="1">SUM(TblConstr[[#This Row],[Tot Alc]:[Tot GT]],TblConstr[[#This Row],[Tot Shr]:[Tot Doc]],TblConstr[[#This Row],[Dest Alc]:[Dest GT]],TblConstr[[#This Row],[Dest Shr]:[Dest Doc]])*building_employment</f>
        <v>1600</v>
      </c>
      <c r="K71" s="144"/>
      <c r="L71" s="62">
        <f ca="1">TblPop[[#This Row],[Draftees]]</f>
        <v>100</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61</v>
      </c>
      <c r="Y71" s="97">
        <f ca="1">(TblPop[[#This Row],[Peasants]]-TblPop[[#This Row],[Draft Growth]])*raw_pop_growth</f>
        <v>60.54</v>
      </c>
      <c r="Z71" s="97">
        <f ca="1">IF(TblPop[[#This Row],[Military%]]&lt;TblMili[[#This Row],[Draftrate]],ROUND(TblPop[[#This Row],[Peasants]]*Constants!$B$55,0), 0)</f>
        <v>20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44873.833333333168</v>
      </c>
      <c r="C72" s="97">
        <f ca="1">OFFSET(TblPop[[#This Row],[Peasants]],-1,0)+OFFSET(TblPop[[#This Row],[Net Peasant]],-1,0)+TblMili[[#This Row],[Release Draft]]</f>
        <v>2038</v>
      </c>
      <c r="D72" s="97">
        <f ca="1">TblMili[[#This Row],[Military]]</f>
        <v>300</v>
      </c>
      <c r="E72" s="97">
        <f ca="1">TblMili[[#This Row],[Draftees]]</f>
        <v>100</v>
      </c>
      <c r="F72" s="97">
        <f ca="1">TblPop[[#This Row],[Peasants]]+TblPop[[#This Row],[Military]]</f>
        <v>2338</v>
      </c>
      <c r="G72" s="142">
        <f ca="1">TblPop[[#This Row],[Military]]/TblPop[[#This Row],[Total]]</f>
        <v>0.12831479897348161</v>
      </c>
      <c r="H72" s="143">
        <f ca="1">MIN(TblPop[[#This Row],[Peasants]],TblPop[[#This Row],[Jobs]])</f>
        <v>1600</v>
      </c>
      <c r="I72" s="142">
        <f ca="1">MIN(OFFSET(TblPop[[#This Row],[Jobs]],1,0)/TblPop[[#This Row],[Peasants]],1)</f>
        <v>0.78508341511285573</v>
      </c>
      <c r="J72" s="143">
        <f ca="1">SUM(TblConstr[[#This Row],[Tot Alc]:[Tot GT]],TblConstr[[#This Row],[Tot Shr]:[Tot Doc]],TblConstr[[#This Row],[Dest Alc]:[Dest GT]],TblConstr[[#This Row],[Dest Shr]:[Dest Doc]])*building_employment</f>
        <v>1600</v>
      </c>
      <c r="K72" s="144"/>
      <c r="L72" s="62">
        <f ca="1">TblPop[[#This Row],[Draftees]]</f>
        <v>100</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61</v>
      </c>
      <c r="Y72" s="97">
        <f ca="1">(TblPop[[#This Row],[Peasants]]-TblPop[[#This Row],[Draft Growth]])*raw_pop_growth</f>
        <v>60.54</v>
      </c>
      <c r="Z72" s="97">
        <f ca="1">IF(TblPop[[#This Row],[Military%]]&lt;TblMili[[#This Row],[Draftrate]],ROUND(TblPop[[#This Row],[Peasants]]*Constants!$B$55,0), 0)</f>
        <v>20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44873.874999999833</v>
      </c>
      <c r="C73" s="97">
        <f ca="1">OFFSET(TblPop[[#This Row],[Peasants]],-1,0)+OFFSET(TblPop[[#This Row],[Net Peasant]],-1,0)+TblMili[[#This Row],[Release Draft]]</f>
        <v>2038</v>
      </c>
      <c r="D73" s="97">
        <f ca="1">TblMili[[#This Row],[Military]]</f>
        <v>300</v>
      </c>
      <c r="E73" s="97">
        <f ca="1">TblMili[[#This Row],[Draftees]]</f>
        <v>100</v>
      </c>
      <c r="F73" s="97">
        <f ca="1">TblPop[[#This Row],[Peasants]]+TblPop[[#This Row],[Military]]</f>
        <v>2338</v>
      </c>
      <c r="G73" s="142">
        <f ca="1">TblPop[[#This Row],[Military]]/TblPop[[#This Row],[Total]]</f>
        <v>0.12831479897348161</v>
      </c>
      <c r="H73" s="143">
        <f ca="1">MIN(TblPop[[#This Row],[Peasants]],TblPop[[#This Row],[Jobs]])</f>
        <v>1600</v>
      </c>
      <c r="I73" s="142">
        <f ca="1">MIN(OFFSET(TblPop[[#This Row],[Jobs]],1,0)/TblPop[[#This Row],[Peasants]],1)</f>
        <v>0.78508341511285573</v>
      </c>
      <c r="J73" s="143">
        <f ca="1">SUM(TblConstr[[#This Row],[Tot Alc]:[Tot GT]],TblConstr[[#This Row],[Tot Shr]:[Tot Doc]],TblConstr[[#This Row],[Dest Alc]:[Dest GT]],TblConstr[[#This Row],[Dest Shr]:[Dest Doc]])*building_employment</f>
        <v>1600</v>
      </c>
      <c r="K73" s="144"/>
      <c r="L73" s="62">
        <f ca="1">TblPop[[#This Row],[Draftees]]</f>
        <v>100</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61</v>
      </c>
      <c r="Y73" s="97">
        <f ca="1">(TblPop[[#This Row],[Peasants]]-TblPop[[#This Row],[Draft Growth]])*raw_pop_growth</f>
        <v>60.54</v>
      </c>
      <c r="Z73" s="97">
        <f ca="1">IF(TblPop[[#This Row],[Military%]]&lt;TblMili[[#This Row],[Draftrate]],ROUND(TblPop[[#This Row],[Peasants]]*Constants!$B$55,0), 0)</f>
        <v>20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44873.916666666497</v>
      </c>
      <c r="C74" s="97">
        <f ca="1">OFFSET(TblPop[[#This Row],[Peasants]],-1,0)+OFFSET(TblPop[[#This Row],[Net Peasant]],-1,0)+TblMili[[#This Row],[Release Draft]]</f>
        <v>2038</v>
      </c>
      <c r="D74" s="97">
        <f ca="1">TblMili[[#This Row],[Military]]</f>
        <v>300</v>
      </c>
      <c r="E74" s="97">
        <f ca="1">TblMili[[#This Row],[Draftees]]</f>
        <v>100</v>
      </c>
      <c r="F74" s="97">
        <f ca="1">TblPop[[#This Row],[Peasants]]+TblPop[[#This Row],[Military]]</f>
        <v>2338</v>
      </c>
      <c r="G74" s="142">
        <f ca="1">TblPop[[#This Row],[Military]]/TblPop[[#This Row],[Total]]</f>
        <v>0.12831479897348161</v>
      </c>
      <c r="H74" s="143">
        <f ca="1">MIN(TblPop[[#This Row],[Peasants]],TblPop[[#This Row],[Jobs]])</f>
        <v>1600</v>
      </c>
      <c r="I74" s="142">
        <f ca="1">MIN(OFFSET(TblPop[[#This Row],[Jobs]],1,0)/TblPop[[#This Row],[Peasants]],1)</f>
        <v>0.78508341511285573</v>
      </c>
      <c r="J74" s="143">
        <f ca="1">SUM(TblConstr[[#This Row],[Tot Alc]:[Tot GT]],TblConstr[[#This Row],[Tot Shr]:[Tot Doc]],TblConstr[[#This Row],[Dest Alc]:[Dest GT]],TblConstr[[#This Row],[Dest Shr]:[Dest Doc]])*building_employment</f>
        <v>1600</v>
      </c>
      <c r="K74" s="144"/>
      <c r="L74" s="62">
        <f ca="1">TblPop[[#This Row],[Draftees]]</f>
        <v>100</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61</v>
      </c>
      <c r="Y74" s="97">
        <f ca="1">(TblPop[[#This Row],[Peasants]]-TblPop[[#This Row],[Draft Growth]])*raw_pop_growth</f>
        <v>60.54</v>
      </c>
      <c r="Z74" s="97">
        <f ca="1">IF(TblPop[[#This Row],[Military%]]&lt;TblMili[[#This Row],[Draftrate]],ROUND(TblPop[[#This Row],[Peasants]]*Constants!$B$55,0), 0)</f>
        <v>20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44873.958333333161</v>
      </c>
      <c r="C75" s="97">
        <f ca="1">OFFSET(TblPop[[#This Row],[Peasants]],-1,0)+OFFSET(TblPop[[#This Row],[Net Peasant]],-1,0)+TblMili[[#This Row],[Release Draft]]</f>
        <v>2038</v>
      </c>
      <c r="D75" s="97">
        <f ca="1">TblMili[[#This Row],[Military]]</f>
        <v>300</v>
      </c>
      <c r="E75" s="97">
        <f ca="1">TblMili[[#This Row],[Draftees]]</f>
        <v>100</v>
      </c>
      <c r="F75" s="97">
        <f ca="1">TblPop[[#This Row],[Peasants]]+TblPop[[#This Row],[Military]]</f>
        <v>2338</v>
      </c>
      <c r="G75" s="142">
        <f ca="1">TblPop[[#This Row],[Military]]/TblPop[[#This Row],[Total]]</f>
        <v>0.12831479897348161</v>
      </c>
      <c r="H75" s="143">
        <f ca="1">MIN(TblPop[[#This Row],[Peasants]],TblPop[[#This Row],[Jobs]])</f>
        <v>1600</v>
      </c>
      <c r="I75" s="142">
        <f ca="1">MIN(OFFSET(TblPop[[#This Row],[Jobs]],1,0)/TblPop[[#This Row],[Peasants]],1)</f>
        <v>0.78508341511285573</v>
      </c>
      <c r="J75" s="143">
        <f ca="1">SUM(TblConstr[[#This Row],[Tot Alc]:[Tot GT]],TblConstr[[#This Row],[Tot Shr]:[Tot Doc]],TblConstr[[#This Row],[Dest Alc]:[Dest GT]],TblConstr[[#This Row],[Dest Shr]:[Dest Doc]])*building_employment</f>
        <v>1600</v>
      </c>
      <c r="K75" s="144"/>
      <c r="L75" s="62">
        <f ca="1">TblPop[[#This Row],[Draftees]]</f>
        <v>100</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61</v>
      </c>
      <c r="Y75" s="97">
        <f ca="1">(TblPop[[#This Row],[Peasants]]-TblPop[[#This Row],[Draft Growth]])*raw_pop_growth</f>
        <v>60.54</v>
      </c>
      <c r="Z75" s="97">
        <f ca="1">IF(TblPop[[#This Row],[Military%]]&lt;TblMili[[#This Row],[Draftrate]],ROUND(TblPop[[#This Row],[Peasants]]*Constants!$B$55,0), 0)</f>
        <v>20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44873.999999999825</v>
      </c>
      <c r="C76" s="35">
        <f ca="1">OFFSET(TblPop[[#This Row],[Peasants]],-1,0)+OFFSET(TblPop[[#This Row],[Net Peasant]],-1,0)+TblMili[[#This Row],[Release Draft]]</f>
        <v>2038</v>
      </c>
      <c r="D76" s="35">
        <f ca="1">TblMili[[#This Row],[Military]]</f>
        <v>300</v>
      </c>
      <c r="E76" s="35">
        <f ca="1">TblMili[[#This Row],[Draftees]]</f>
        <v>100</v>
      </c>
      <c r="F76" s="35">
        <f ca="1">TblPop[[#This Row],[Peasants]]+TblPop[[#This Row],[Military]]</f>
        <v>2338</v>
      </c>
      <c r="G76" s="149">
        <f ca="1">TblPop[[#This Row],[Military]]/TblPop[[#This Row],[Total]]</f>
        <v>0.12831479897348161</v>
      </c>
      <c r="H76" s="150">
        <f ca="1">MIN(TblPop[[#This Row],[Peasants]],TblPop[[#This Row],[Jobs]])</f>
        <v>1600</v>
      </c>
      <c r="I76" s="149">
        <f ca="1">MIN(OFFSET(TblPop[[#This Row],[Jobs]],1,0)/TblPop[[#This Row],[Peasants]],1)</f>
        <v>0.78508341511285573</v>
      </c>
      <c r="J76" s="143">
        <f ca="1">SUM(TblConstr[[#This Row],[Tot Alc]:[Tot GT]],TblConstr[[#This Row],[Tot Shr]:[Tot Doc]],TblConstr[[#This Row],[Dest Alc]:[Dest GT]],TblConstr[[#This Row],[Dest Shr]:[Dest Doc]])*building_employment</f>
        <v>1600</v>
      </c>
      <c r="K76" s="144"/>
      <c r="L76" s="151">
        <f ca="1">TblPop[[#This Row],[Draftees]]</f>
        <v>100</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61</v>
      </c>
      <c r="Y76" s="35">
        <f ca="1">(TblPop[[#This Row],[Peasants]]-TblPop[[#This Row],[Draft Growth]])*raw_pop_growth</f>
        <v>60.54</v>
      </c>
      <c r="Z76" s="35">
        <f ca="1">IF(TblPop[[#This Row],[Military%]]&lt;TblMili[[#This Row],[Draftrate]],ROUND(TblPop[[#This Row],[Peasants]]*Constants!$B$55,0), 0)</f>
        <v>20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44874.04166666649</v>
      </c>
      <c r="C77" s="97">
        <f ca="1">OFFSET(TblPop[[#This Row],[Peasants]],-1,0)+OFFSET(TblPop[[#This Row],[Net Peasant]],-1,0)+TblMili[[#This Row],[Release Draft]]</f>
        <v>2038</v>
      </c>
      <c r="D77" s="97">
        <f ca="1">TblMili[[#This Row],[Military]]</f>
        <v>300</v>
      </c>
      <c r="E77" s="97">
        <f ca="1">TblMili[[#This Row],[Draftees]]</f>
        <v>100</v>
      </c>
      <c r="F77" s="97">
        <f ca="1">TblPop[[#This Row],[Peasants]]+TblPop[[#This Row],[Military]]</f>
        <v>2338</v>
      </c>
      <c r="G77" s="142">
        <f ca="1">TblPop[[#This Row],[Military]]/TblPop[[#This Row],[Total]]</f>
        <v>0.12831479897348161</v>
      </c>
      <c r="H77" s="143">
        <f ca="1">MIN(TblPop[[#This Row],[Peasants]],TblPop[[#This Row],[Jobs]])</f>
        <v>1600</v>
      </c>
      <c r="I77" s="142">
        <f ca="1">MIN(OFFSET(TblPop[[#This Row],[Jobs]],1,0)/TblPop[[#This Row],[Peasants]],1)</f>
        <v>0.78508341511285573</v>
      </c>
      <c r="J77" s="143">
        <f ca="1">SUM(TblConstr[[#This Row],[Tot Alc]:[Tot GT]],TblConstr[[#This Row],[Tot Shr]:[Tot Doc]],TblConstr[[#This Row],[Dest Alc]:[Dest GT]],TblConstr[[#This Row],[Dest Shr]:[Dest Doc]])*building_employment</f>
        <v>1600</v>
      </c>
      <c r="K77" s="144"/>
      <c r="L77" s="62">
        <f ca="1">TblPop[[#This Row],[Draftees]]</f>
        <v>100</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61</v>
      </c>
      <c r="Y77" s="97">
        <f ca="1">(TblPop[[#This Row],[Peasants]]-TblPop[[#This Row],[Draft Growth]])*raw_pop_growth</f>
        <v>60.54</v>
      </c>
      <c r="Z77" s="97">
        <f ca="1">IF(TblPop[[#This Row],[Military%]]&lt;TblMili[[#This Row],[Draftrate]],ROUND(TblPop[[#This Row],[Peasants]]*Constants!$B$55,0), 0)</f>
        <v>20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44874.083333333154</v>
      </c>
      <c r="C78" s="97">
        <f ca="1">OFFSET(TblPop[[#This Row],[Peasants]],-1,0)+OFFSET(TblPop[[#This Row],[Net Peasant]],-1,0)+TblMili[[#This Row],[Release Draft]]</f>
        <v>2038</v>
      </c>
      <c r="D78" s="97">
        <f ca="1">TblMili[[#This Row],[Military]]</f>
        <v>300</v>
      </c>
      <c r="E78" s="97">
        <f ca="1">TblMili[[#This Row],[Draftees]]</f>
        <v>100</v>
      </c>
      <c r="F78" s="97">
        <f ca="1">TblPop[[#This Row],[Peasants]]+TblPop[[#This Row],[Military]]</f>
        <v>2338</v>
      </c>
      <c r="G78" s="142">
        <f ca="1">TblPop[[#This Row],[Military]]/TblPop[[#This Row],[Total]]</f>
        <v>0.12831479897348161</v>
      </c>
      <c r="H78" s="143">
        <f ca="1">MIN(TblPop[[#This Row],[Peasants]],TblPop[[#This Row],[Jobs]])</f>
        <v>1600</v>
      </c>
      <c r="I78" s="142">
        <f ca="1">MIN(OFFSET(TblPop[[#This Row],[Jobs]],1,0)/TblPop[[#This Row],[Peasants]],1)</f>
        <v>0.78508341511285573</v>
      </c>
      <c r="J78" s="143">
        <f ca="1">SUM(TblConstr[[#This Row],[Tot Alc]:[Tot GT]],TblConstr[[#This Row],[Tot Shr]:[Tot Doc]],TblConstr[[#This Row],[Dest Alc]:[Dest GT]],TblConstr[[#This Row],[Dest Shr]:[Dest Doc]])*building_employment</f>
        <v>1600</v>
      </c>
      <c r="K78" s="144"/>
      <c r="L78" s="62">
        <f ca="1">TblPop[[#This Row],[Draftees]]</f>
        <v>100</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61</v>
      </c>
      <c r="Y78" s="97">
        <f ca="1">(TblPop[[#This Row],[Peasants]]-TblPop[[#This Row],[Draft Growth]])*raw_pop_growth</f>
        <v>60.54</v>
      </c>
      <c r="Z78" s="97">
        <f ca="1">IF(TblPop[[#This Row],[Military%]]&lt;TblMili[[#This Row],[Draftrate]],ROUND(TblPop[[#This Row],[Peasants]]*Constants!$B$55,0), 0)</f>
        <v>20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44874.124999999818</v>
      </c>
      <c r="C79" s="97">
        <f ca="1">OFFSET(TblPop[[#This Row],[Peasants]],-1,0)+OFFSET(TblPop[[#This Row],[Net Peasant]],-1,0)+TblMili[[#This Row],[Release Draft]]</f>
        <v>2038</v>
      </c>
      <c r="D79" s="97">
        <f ca="1">TblMili[[#This Row],[Military]]</f>
        <v>300</v>
      </c>
      <c r="E79" s="97">
        <f ca="1">TblMili[[#This Row],[Draftees]]</f>
        <v>100</v>
      </c>
      <c r="F79" s="97">
        <f ca="1">TblPop[[#This Row],[Peasants]]+TblPop[[#This Row],[Military]]</f>
        <v>2338</v>
      </c>
      <c r="G79" s="142">
        <f ca="1">TblPop[[#This Row],[Military]]/TblPop[[#This Row],[Total]]</f>
        <v>0.12831479897348161</v>
      </c>
      <c r="H79" s="143">
        <f ca="1">MIN(TblPop[[#This Row],[Peasants]],TblPop[[#This Row],[Jobs]])</f>
        <v>1600</v>
      </c>
      <c r="I79" s="142">
        <f ca="1">MIN(OFFSET(TblPop[[#This Row],[Jobs]],1,0)/TblPop[[#This Row],[Peasants]],1)</f>
        <v>0.78508341511285573</v>
      </c>
      <c r="J79" s="143">
        <f ca="1">SUM(TblConstr[[#This Row],[Tot Alc]:[Tot GT]],TblConstr[[#This Row],[Tot Shr]:[Tot Doc]],TblConstr[[#This Row],[Dest Alc]:[Dest GT]],TblConstr[[#This Row],[Dest Shr]:[Dest Doc]])*building_employment</f>
        <v>1600</v>
      </c>
      <c r="K79" s="144"/>
      <c r="L79" s="62">
        <f ca="1">TblPop[[#This Row],[Draftees]]</f>
        <v>100</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61</v>
      </c>
      <c r="Y79" s="97">
        <f ca="1">(TblPop[[#This Row],[Peasants]]-TblPop[[#This Row],[Draft Growth]])*raw_pop_growth</f>
        <v>60.54</v>
      </c>
      <c r="Z79" s="97">
        <f ca="1">IF(TblPop[[#This Row],[Military%]]&lt;TblMili[[#This Row],[Draftrate]],ROUND(TblPop[[#This Row],[Peasants]]*Constants!$B$55,0), 0)</f>
        <v>20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44874.166666666482</v>
      </c>
      <c r="C80" s="97">
        <f ca="1">OFFSET(TblPop[[#This Row],[Peasants]],-1,0)+OFFSET(TblPop[[#This Row],[Net Peasant]],-1,0)+TblMili[[#This Row],[Release Draft]]</f>
        <v>2038</v>
      </c>
      <c r="D80" s="97">
        <f ca="1">TblMili[[#This Row],[Military]]</f>
        <v>300</v>
      </c>
      <c r="E80" s="97">
        <f ca="1">TblMili[[#This Row],[Draftees]]</f>
        <v>100</v>
      </c>
      <c r="F80" s="97">
        <f ca="1">TblPop[[#This Row],[Peasants]]+TblPop[[#This Row],[Military]]</f>
        <v>2338</v>
      </c>
      <c r="G80" s="142">
        <f ca="1">TblPop[[#This Row],[Military]]/TblPop[[#This Row],[Total]]</f>
        <v>0.12831479897348161</v>
      </c>
      <c r="H80" s="143">
        <f ca="1">MIN(TblPop[[#This Row],[Peasants]],TblPop[[#This Row],[Jobs]])</f>
        <v>1600</v>
      </c>
      <c r="I80" s="142">
        <f ca="1">MIN(OFFSET(TblPop[[#This Row],[Jobs]],1,0)/TblPop[[#This Row],[Peasants]],1)</f>
        <v>0.78508341511285573</v>
      </c>
      <c r="J80" s="143">
        <f ca="1">SUM(TblConstr[[#This Row],[Tot Alc]:[Tot GT]],TblConstr[[#This Row],[Tot Shr]:[Tot Doc]],TblConstr[[#This Row],[Dest Alc]:[Dest GT]],TblConstr[[#This Row],[Dest Shr]:[Dest Doc]])*building_employment</f>
        <v>1600</v>
      </c>
      <c r="K80" s="144"/>
      <c r="L80" s="62">
        <f ca="1">TblPop[[#This Row],[Draftees]]</f>
        <v>100</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61</v>
      </c>
      <c r="Y80" s="97">
        <f ca="1">(TblPop[[#This Row],[Peasants]]-TblPop[[#This Row],[Draft Growth]])*raw_pop_growth</f>
        <v>60.54</v>
      </c>
      <c r="Z80" s="97">
        <f ca="1">IF(TblPop[[#This Row],[Military%]]&lt;TblMili[[#This Row],[Draftrate]],ROUND(TblPop[[#This Row],[Peasants]]*Constants!$B$55,0), 0)</f>
        <v>20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44874.208333333147</v>
      </c>
      <c r="C81" s="97">
        <f ca="1">OFFSET(TblPop[[#This Row],[Peasants]],-1,0)+OFFSET(TblPop[[#This Row],[Net Peasant]],-1,0)+TblMili[[#This Row],[Release Draft]]</f>
        <v>2038</v>
      </c>
      <c r="D81" s="97">
        <f ca="1">TblMili[[#This Row],[Military]]</f>
        <v>300</v>
      </c>
      <c r="E81" s="97">
        <f ca="1">TblMili[[#This Row],[Draftees]]</f>
        <v>100</v>
      </c>
      <c r="F81" s="97">
        <f ca="1">TblPop[[#This Row],[Peasants]]+TblPop[[#This Row],[Military]]</f>
        <v>2338</v>
      </c>
      <c r="G81" s="142">
        <f ca="1">TblPop[[#This Row],[Military]]/TblPop[[#This Row],[Total]]</f>
        <v>0.12831479897348161</v>
      </c>
      <c r="H81" s="143">
        <f ca="1">MIN(TblPop[[#This Row],[Peasants]],TblPop[[#This Row],[Jobs]])</f>
        <v>1600</v>
      </c>
      <c r="I81" s="142">
        <f ca="1">MIN(OFFSET(TblPop[[#This Row],[Jobs]],1,0)/TblPop[[#This Row],[Peasants]],1)</f>
        <v>0.78508341511285573</v>
      </c>
      <c r="J81" s="143">
        <f ca="1">SUM(TblConstr[[#This Row],[Tot Alc]:[Tot GT]],TblConstr[[#This Row],[Tot Shr]:[Tot Doc]],TblConstr[[#This Row],[Dest Alc]:[Dest GT]],TblConstr[[#This Row],[Dest Shr]:[Dest Doc]])*building_employment</f>
        <v>1600</v>
      </c>
      <c r="K81" s="144"/>
      <c r="L81" s="62">
        <f ca="1">TblPop[[#This Row],[Draftees]]</f>
        <v>100</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61</v>
      </c>
      <c r="Y81" s="97">
        <f ca="1">(TblPop[[#This Row],[Peasants]]-TblPop[[#This Row],[Draft Growth]])*raw_pop_growth</f>
        <v>60.54</v>
      </c>
      <c r="Z81" s="97">
        <f ca="1">IF(TblPop[[#This Row],[Military%]]&lt;TblMili[[#This Row],[Draftrate]],ROUND(TblPop[[#This Row],[Peasants]]*Constants!$B$55,0), 0)</f>
        <v>20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44874.249999999811</v>
      </c>
      <c r="C82" s="97">
        <f ca="1">OFFSET(TblPop[[#This Row],[Peasants]],-1,0)+OFFSET(TblPop[[#This Row],[Net Peasant]],-1,0)+TblMili[[#This Row],[Release Draft]]</f>
        <v>2038</v>
      </c>
      <c r="D82" s="97">
        <f ca="1">TblMili[[#This Row],[Military]]</f>
        <v>300</v>
      </c>
      <c r="E82" s="97">
        <f ca="1">TblMili[[#This Row],[Draftees]]</f>
        <v>100</v>
      </c>
      <c r="F82" s="97">
        <f ca="1">TblPop[[#This Row],[Peasants]]+TblPop[[#This Row],[Military]]</f>
        <v>2338</v>
      </c>
      <c r="G82" s="142">
        <f ca="1">TblPop[[#This Row],[Military]]/TblPop[[#This Row],[Total]]</f>
        <v>0.12831479897348161</v>
      </c>
      <c r="H82" s="143">
        <f ca="1">MIN(TblPop[[#This Row],[Peasants]],TblPop[[#This Row],[Jobs]])</f>
        <v>1600</v>
      </c>
      <c r="I82" s="142">
        <f ca="1">MIN(OFFSET(TblPop[[#This Row],[Jobs]],1,0)/TblPop[[#This Row],[Peasants]],1)</f>
        <v>0.78508341511285573</v>
      </c>
      <c r="J82" s="143">
        <f ca="1">SUM(TblConstr[[#This Row],[Tot Alc]:[Tot GT]],TblConstr[[#This Row],[Tot Shr]:[Tot Doc]],TblConstr[[#This Row],[Dest Alc]:[Dest GT]],TblConstr[[#This Row],[Dest Shr]:[Dest Doc]])*building_employment</f>
        <v>1600</v>
      </c>
      <c r="K82" s="144"/>
      <c r="L82" s="62">
        <f ca="1">TblPop[[#This Row],[Draftees]]</f>
        <v>100</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61</v>
      </c>
      <c r="Y82" s="97">
        <f ca="1">(TblPop[[#This Row],[Peasants]]-TblPop[[#This Row],[Draft Growth]])*raw_pop_growth</f>
        <v>60.54</v>
      </c>
      <c r="Z82" s="97">
        <f ca="1">IF(TblPop[[#This Row],[Military%]]&lt;TblMili[[#This Row],[Draftrate]],ROUND(TblPop[[#This Row],[Peasants]]*Constants!$B$55,0), 0)</f>
        <v>20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44874.291666666475</v>
      </c>
      <c r="C83" s="97">
        <f ca="1">OFFSET(TblPop[[#This Row],[Peasants]],-1,0)+OFFSET(TblPop[[#This Row],[Net Peasant]],-1,0)+TblMili[[#This Row],[Release Draft]]</f>
        <v>2038</v>
      </c>
      <c r="D83" s="97">
        <f ca="1">TblMili[[#This Row],[Military]]</f>
        <v>300</v>
      </c>
      <c r="E83" s="97">
        <f ca="1">TblMili[[#This Row],[Draftees]]</f>
        <v>100</v>
      </c>
      <c r="F83" s="97">
        <f ca="1">TblPop[[#This Row],[Peasants]]+TblPop[[#This Row],[Military]]</f>
        <v>2338</v>
      </c>
      <c r="G83" s="142">
        <f ca="1">TblPop[[#This Row],[Military]]/TblPop[[#This Row],[Total]]</f>
        <v>0.12831479897348161</v>
      </c>
      <c r="H83" s="143">
        <f ca="1">MIN(TblPop[[#This Row],[Peasants]],TblPop[[#This Row],[Jobs]])</f>
        <v>1600</v>
      </c>
      <c r="I83" s="142">
        <f ca="1">MIN(OFFSET(TblPop[[#This Row],[Jobs]],1,0)/TblPop[[#This Row],[Peasants]],1)</f>
        <v>0.78508341511285573</v>
      </c>
      <c r="J83" s="143">
        <f ca="1">SUM(TblConstr[[#This Row],[Tot Alc]:[Tot GT]],TblConstr[[#This Row],[Tot Shr]:[Tot Doc]],TblConstr[[#This Row],[Dest Alc]:[Dest GT]],TblConstr[[#This Row],[Dest Shr]:[Dest Doc]])*building_employment</f>
        <v>1600</v>
      </c>
      <c r="K83" s="144"/>
      <c r="L83" s="62">
        <f ca="1">TblPop[[#This Row],[Draftees]]</f>
        <v>100</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61</v>
      </c>
      <c r="Y83" s="97">
        <f ca="1">(TblPop[[#This Row],[Peasants]]-TblPop[[#This Row],[Draft Growth]])*raw_pop_growth</f>
        <v>60.54</v>
      </c>
      <c r="Z83" s="97">
        <f ca="1">IF(TblPop[[#This Row],[Military%]]&lt;TblMili[[#This Row],[Draftrate]],ROUND(TblPop[[#This Row],[Peasants]]*Constants!$B$55,0), 0)</f>
        <v>20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44874.333333333139</v>
      </c>
      <c r="C84" s="97">
        <f ca="1">OFFSET(TblPop[[#This Row],[Peasants]],-1,0)+OFFSET(TblPop[[#This Row],[Net Peasant]],-1,0)+TblMili[[#This Row],[Release Draft]]</f>
        <v>2038</v>
      </c>
      <c r="D84" s="97">
        <f ca="1">TblMili[[#This Row],[Military]]</f>
        <v>300</v>
      </c>
      <c r="E84" s="97">
        <f ca="1">TblMili[[#This Row],[Draftees]]</f>
        <v>100</v>
      </c>
      <c r="F84" s="97">
        <f ca="1">TblPop[[#This Row],[Peasants]]+TblPop[[#This Row],[Military]]</f>
        <v>2338</v>
      </c>
      <c r="G84" s="142">
        <f ca="1">TblPop[[#This Row],[Military]]/TblPop[[#This Row],[Total]]</f>
        <v>0.12831479897348161</v>
      </c>
      <c r="H84" s="143">
        <f ca="1">MIN(TblPop[[#This Row],[Peasants]],TblPop[[#This Row],[Jobs]])</f>
        <v>1600</v>
      </c>
      <c r="I84" s="142">
        <f ca="1">MIN(OFFSET(TblPop[[#This Row],[Jobs]],1,0)/TblPop[[#This Row],[Peasants]],1)</f>
        <v>0.78508341511285573</v>
      </c>
      <c r="J84" s="143">
        <f ca="1">SUM(TblConstr[[#This Row],[Tot Alc]:[Tot GT]],TblConstr[[#This Row],[Tot Shr]:[Tot Doc]],TblConstr[[#This Row],[Dest Alc]:[Dest GT]],TblConstr[[#This Row],[Dest Shr]:[Dest Doc]])*building_employment</f>
        <v>1600</v>
      </c>
      <c r="K84" s="144"/>
      <c r="L84" s="62">
        <f ca="1">TblPop[[#This Row],[Draftees]]</f>
        <v>100</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61</v>
      </c>
      <c r="Y84" s="97">
        <f ca="1">(TblPop[[#This Row],[Peasants]]-TblPop[[#This Row],[Draft Growth]])*raw_pop_growth</f>
        <v>60.54</v>
      </c>
      <c r="Z84" s="97">
        <f ca="1">IF(TblPop[[#This Row],[Military%]]&lt;TblMili[[#This Row],[Draftrate]],ROUND(TblPop[[#This Row],[Peasants]]*Constants!$B$55,0), 0)</f>
        <v>20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44874.374999999804</v>
      </c>
      <c r="C85" s="97">
        <f ca="1">OFFSET(TblPop[[#This Row],[Peasants]],-1,0)+OFFSET(TblPop[[#This Row],[Net Peasant]],-1,0)+TblMili[[#This Row],[Release Draft]]</f>
        <v>2038</v>
      </c>
      <c r="D85" s="97">
        <f ca="1">TblMili[[#This Row],[Military]]</f>
        <v>300</v>
      </c>
      <c r="E85" s="97">
        <f ca="1">TblMili[[#This Row],[Draftees]]</f>
        <v>100</v>
      </c>
      <c r="F85" s="97">
        <f ca="1">TblPop[[#This Row],[Peasants]]+TblPop[[#This Row],[Military]]</f>
        <v>2338</v>
      </c>
      <c r="G85" s="142">
        <f ca="1">TblPop[[#This Row],[Military]]/TblPop[[#This Row],[Total]]</f>
        <v>0.12831479897348161</v>
      </c>
      <c r="H85" s="143">
        <f ca="1">MIN(TblPop[[#This Row],[Peasants]],TblPop[[#This Row],[Jobs]])</f>
        <v>1600</v>
      </c>
      <c r="I85" s="142">
        <f ca="1">MIN(OFFSET(TblPop[[#This Row],[Jobs]],1,0)/TblPop[[#This Row],[Peasants]],1)</f>
        <v>0.78508341511285573</v>
      </c>
      <c r="J85" s="143">
        <f ca="1">SUM(TblConstr[[#This Row],[Tot Alc]:[Tot GT]],TblConstr[[#This Row],[Tot Shr]:[Tot Doc]],TblConstr[[#This Row],[Dest Alc]:[Dest GT]],TblConstr[[#This Row],[Dest Shr]:[Dest Doc]])*building_employment</f>
        <v>1600</v>
      </c>
      <c r="K85" s="144"/>
      <c r="L85" s="62">
        <f ca="1">TblPop[[#This Row],[Draftees]]</f>
        <v>100</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61</v>
      </c>
      <c r="Y85" s="97">
        <f ca="1">(TblPop[[#This Row],[Peasants]]-TblPop[[#This Row],[Draft Growth]])*raw_pop_growth</f>
        <v>60.54</v>
      </c>
      <c r="Z85" s="97">
        <f ca="1">IF(TblPop[[#This Row],[Military%]]&lt;TblMili[[#This Row],[Draftrate]],ROUND(TblPop[[#This Row],[Peasants]]*Constants!$B$55,0), 0)</f>
        <v>20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44874.416666666468</v>
      </c>
      <c r="C86" s="97">
        <f ca="1">OFFSET(TblPop[[#This Row],[Peasants]],-1,0)+OFFSET(TblPop[[#This Row],[Net Peasant]],-1,0)+TblMili[[#This Row],[Release Draft]]</f>
        <v>2038</v>
      </c>
      <c r="D86" s="97">
        <f ca="1">TblMili[[#This Row],[Military]]</f>
        <v>300</v>
      </c>
      <c r="E86" s="97">
        <f ca="1">TblMili[[#This Row],[Draftees]]</f>
        <v>100</v>
      </c>
      <c r="F86" s="97">
        <f ca="1">TblPop[[#This Row],[Peasants]]+TblPop[[#This Row],[Military]]</f>
        <v>2338</v>
      </c>
      <c r="G86" s="142">
        <f ca="1">TblPop[[#This Row],[Military]]/TblPop[[#This Row],[Total]]</f>
        <v>0.12831479897348161</v>
      </c>
      <c r="H86" s="143">
        <f ca="1">MIN(TblPop[[#This Row],[Peasants]],TblPop[[#This Row],[Jobs]])</f>
        <v>1600</v>
      </c>
      <c r="I86" s="142">
        <f ca="1">MIN(OFFSET(TblPop[[#This Row],[Jobs]],1,0)/TblPop[[#This Row],[Peasants]],1)</f>
        <v>0.78508341511285573</v>
      </c>
      <c r="J86" s="143">
        <f ca="1">SUM(TblConstr[[#This Row],[Tot Alc]:[Tot GT]],TblConstr[[#This Row],[Tot Shr]:[Tot Doc]],TblConstr[[#This Row],[Dest Alc]:[Dest GT]],TblConstr[[#This Row],[Dest Shr]:[Dest Doc]])*building_employment</f>
        <v>1600</v>
      </c>
      <c r="K86" s="144"/>
      <c r="L86" s="62">
        <f ca="1">TblPop[[#This Row],[Draftees]]</f>
        <v>100</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61</v>
      </c>
      <c r="Y86" s="97">
        <f ca="1">(TblPop[[#This Row],[Peasants]]-TblPop[[#This Row],[Draft Growth]])*raw_pop_growth</f>
        <v>60.54</v>
      </c>
      <c r="Z86" s="97">
        <f ca="1">IF(TblPop[[#This Row],[Military%]]&lt;TblMili[[#This Row],[Draftrate]],ROUND(TblPop[[#This Row],[Peasants]]*Constants!$B$55,0), 0)</f>
        <v>20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44874.458333333132</v>
      </c>
      <c r="C87" s="97">
        <f ca="1">OFFSET(TblPop[[#This Row],[Peasants]],-1,0)+OFFSET(TblPop[[#This Row],[Net Peasant]],-1,0)+TblMili[[#This Row],[Release Draft]]</f>
        <v>2038</v>
      </c>
      <c r="D87" s="97">
        <f ca="1">TblMili[[#This Row],[Military]]</f>
        <v>300</v>
      </c>
      <c r="E87" s="97">
        <f ca="1">TblMili[[#This Row],[Draftees]]</f>
        <v>100</v>
      </c>
      <c r="F87" s="97">
        <f ca="1">TblPop[[#This Row],[Peasants]]+TblPop[[#This Row],[Military]]</f>
        <v>2338</v>
      </c>
      <c r="G87" s="142">
        <f ca="1">TblPop[[#This Row],[Military]]/TblPop[[#This Row],[Total]]</f>
        <v>0.12831479897348161</v>
      </c>
      <c r="H87" s="143">
        <f ca="1">MIN(TblPop[[#This Row],[Peasants]],TblPop[[#This Row],[Jobs]])</f>
        <v>1600</v>
      </c>
      <c r="I87" s="142">
        <f ca="1">MIN(OFFSET(TblPop[[#This Row],[Jobs]],1,0)/TblPop[[#This Row],[Peasants]],1)</f>
        <v>0.78508341511285573</v>
      </c>
      <c r="J87" s="143">
        <f ca="1">SUM(TblConstr[[#This Row],[Tot Alc]:[Tot GT]],TblConstr[[#This Row],[Tot Shr]:[Tot Doc]],TblConstr[[#This Row],[Dest Alc]:[Dest GT]],TblConstr[[#This Row],[Dest Shr]:[Dest Doc]])*building_employment</f>
        <v>1600</v>
      </c>
      <c r="K87" s="144"/>
      <c r="L87" s="62">
        <f ca="1">TblPop[[#This Row],[Draftees]]</f>
        <v>100</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61</v>
      </c>
      <c r="Y87" s="97">
        <f ca="1">(TblPop[[#This Row],[Peasants]]-TblPop[[#This Row],[Draft Growth]])*raw_pop_growth</f>
        <v>60.54</v>
      </c>
      <c r="Z87" s="97">
        <f ca="1">IF(TblPop[[#This Row],[Military%]]&lt;TblMili[[#This Row],[Draftrate]],ROUND(TblPop[[#This Row],[Peasants]]*Constants!$B$55,0), 0)</f>
        <v>20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44874.499999999796</v>
      </c>
      <c r="C88" s="97">
        <f ca="1">OFFSET(TblPop[[#This Row],[Peasants]],-1,0)+OFFSET(TblPop[[#This Row],[Net Peasant]],-1,0)+TblMili[[#This Row],[Release Draft]]</f>
        <v>2038</v>
      </c>
      <c r="D88" s="97">
        <f ca="1">TblMili[[#This Row],[Military]]</f>
        <v>300</v>
      </c>
      <c r="E88" s="97">
        <f ca="1">TblMili[[#This Row],[Draftees]]</f>
        <v>100</v>
      </c>
      <c r="F88" s="97">
        <f ca="1">TblPop[[#This Row],[Peasants]]+TblPop[[#This Row],[Military]]</f>
        <v>2338</v>
      </c>
      <c r="G88" s="142">
        <f ca="1">TblPop[[#This Row],[Military]]/TblPop[[#This Row],[Total]]</f>
        <v>0.12831479897348161</v>
      </c>
      <c r="H88" s="143">
        <f ca="1">MIN(TblPop[[#This Row],[Peasants]],TblPop[[#This Row],[Jobs]])</f>
        <v>1600</v>
      </c>
      <c r="I88" s="142">
        <f ca="1">MIN(OFFSET(TblPop[[#This Row],[Jobs]],1,0)/TblPop[[#This Row],[Peasants]],1)</f>
        <v>0.78508341511285573</v>
      </c>
      <c r="J88" s="143">
        <f ca="1">SUM(TblConstr[[#This Row],[Tot Alc]:[Tot GT]],TblConstr[[#This Row],[Tot Shr]:[Tot Doc]],TblConstr[[#This Row],[Dest Alc]:[Dest GT]],TblConstr[[#This Row],[Dest Shr]:[Dest Doc]])*building_employment</f>
        <v>1600</v>
      </c>
      <c r="K88" s="144"/>
      <c r="L88" s="62">
        <f ca="1">TblPop[[#This Row],[Draftees]]</f>
        <v>100</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61</v>
      </c>
      <c r="Y88" s="97">
        <f ca="1">(TblPop[[#This Row],[Peasants]]-TblPop[[#This Row],[Draft Growth]])*raw_pop_growth</f>
        <v>60.54</v>
      </c>
      <c r="Z88" s="97">
        <f ca="1">IF(TblPop[[#This Row],[Military%]]&lt;TblMili[[#This Row],[Draftrate]],ROUND(TblPop[[#This Row],[Peasants]]*Constants!$B$55,0), 0)</f>
        <v>20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44874.541666666461</v>
      </c>
      <c r="C89" s="97">
        <f ca="1">OFFSET(TblPop[[#This Row],[Peasants]],-1,0)+OFFSET(TblPop[[#This Row],[Net Peasant]],-1,0)+TblMili[[#This Row],[Release Draft]]</f>
        <v>2038</v>
      </c>
      <c r="D89" s="97">
        <f ca="1">TblMili[[#This Row],[Military]]</f>
        <v>300</v>
      </c>
      <c r="E89" s="97">
        <f ca="1">TblMili[[#This Row],[Draftees]]</f>
        <v>100</v>
      </c>
      <c r="F89" s="97">
        <f ca="1">TblPop[[#This Row],[Peasants]]+TblPop[[#This Row],[Military]]</f>
        <v>2338</v>
      </c>
      <c r="G89" s="142">
        <f ca="1">TblPop[[#This Row],[Military]]/TblPop[[#This Row],[Total]]</f>
        <v>0.12831479897348161</v>
      </c>
      <c r="H89" s="143">
        <f ca="1">MIN(TblPop[[#This Row],[Peasants]],TblPop[[#This Row],[Jobs]])</f>
        <v>1600</v>
      </c>
      <c r="I89" s="142">
        <f ca="1">MIN(OFFSET(TblPop[[#This Row],[Jobs]],1,0)/TblPop[[#This Row],[Peasants]],1)</f>
        <v>0.78508341511285573</v>
      </c>
      <c r="J89" s="143">
        <f ca="1">SUM(TblConstr[[#This Row],[Tot Alc]:[Tot GT]],TblConstr[[#This Row],[Tot Shr]:[Tot Doc]],TblConstr[[#This Row],[Dest Alc]:[Dest GT]],TblConstr[[#This Row],[Dest Shr]:[Dest Doc]])*building_employment</f>
        <v>1600</v>
      </c>
      <c r="K89" s="144"/>
      <c r="L89" s="62">
        <f ca="1">TblPop[[#This Row],[Draftees]]</f>
        <v>100</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61</v>
      </c>
      <c r="Y89" s="97">
        <f ca="1">(TblPop[[#This Row],[Peasants]]-TblPop[[#This Row],[Draft Growth]])*raw_pop_growth</f>
        <v>60.54</v>
      </c>
      <c r="Z89" s="97">
        <f ca="1">IF(TblPop[[#This Row],[Military%]]&lt;TblMili[[#This Row],[Draftrate]],ROUND(TblPop[[#This Row],[Peasants]]*Constants!$B$55,0), 0)</f>
        <v>20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44874.583333333125</v>
      </c>
      <c r="C90" s="97">
        <f ca="1">OFFSET(TblPop[[#This Row],[Peasants]],-1,0)+OFFSET(TblPop[[#This Row],[Net Peasant]],-1,0)+TblMili[[#This Row],[Release Draft]]</f>
        <v>2038</v>
      </c>
      <c r="D90" s="97">
        <f ca="1">TblMili[[#This Row],[Military]]</f>
        <v>300</v>
      </c>
      <c r="E90" s="97">
        <f ca="1">TblMili[[#This Row],[Draftees]]</f>
        <v>100</v>
      </c>
      <c r="F90" s="97">
        <f ca="1">TblPop[[#This Row],[Peasants]]+TblPop[[#This Row],[Military]]</f>
        <v>2338</v>
      </c>
      <c r="G90" s="142">
        <f ca="1">TblPop[[#This Row],[Military]]/TblPop[[#This Row],[Total]]</f>
        <v>0.12831479897348161</v>
      </c>
      <c r="H90" s="143">
        <f ca="1">MIN(TblPop[[#This Row],[Peasants]],TblPop[[#This Row],[Jobs]])</f>
        <v>1600</v>
      </c>
      <c r="I90" s="142">
        <f ca="1">MIN(OFFSET(TblPop[[#This Row],[Jobs]],1,0)/TblPop[[#This Row],[Peasants]],1)</f>
        <v>0.78508341511285573</v>
      </c>
      <c r="J90" s="143">
        <f ca="1">SUM(TblConstr[[#This Row],[Tot Alc]:[Tot GT]],TblConstr[[#This Row],[Tot Shr]:[Tot Doc]],TblConstr[[#This Row],[Dest Alc]:[Dest GT]],TblConstr[[#This Row],[Dest Shr]:[Dest Doc]])*building_employment</f>
        <v>1600</v>
      </c>
      <c r="K90" s="144"/>
      <c r="L90" s="62">
        <f ca="1">TblPop[[#This Row],[Draftees]]</f>
        <v>100</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61</v>
      </c>
      <c r="Y90" s="97">
        <f ca="1">(TblPop[[#This Row],[Peasants]]-TblPop[[#This Row],[Draft Growth]])*raw_pop_growth</f>
        <v>60.54</v>
      </c>
      <c r="Z90" s="97">
        <f ca="1">IF(TblPop[[#This Row],[Military%]]&lt;TblMili[[#This Row],[Draftrate]],ROUND(TblPop[[#This Row],[Peasants]]*Constants!$B$55,0), 0)</f>
        <v>20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44874.624999999789</v>
      </c>
      <c r="C91" s="97">
        <f ca="1">OFFSET(TblPop[[#This Row],[Peasants]],-1,0)+OFFSET(TblPop[[#This Row],[Net Peasant]],-1,0)+TblMili[[#This Row],[Release Draft]]</f>
        <v>2038</v>
      </c>
      <c r="D91" s="97">
        <f ca="1">TblMili[[#This Row],[Military]]</f>
        <v>300</v>
      </c>
      <c r="E91" s="97">
        <f ca="1">TblMili[[#This Row],[Draftees]]</f>
        <v>100</v>
      </c>
      <c r="F91" s="97">
        <f ca="1">TblPop[[#This Row],[Peasants]]+TblPop[[#This Row],[Military]]</f>
        <v>2338</v>
      </c>
      <c r="G91" s="142">
        <f ca="1">TblPop[[#This Row],[Military]]/TblPop[[#This Row],[Total]]</f>
        <v>0.12831479897348161</v>
      </c>
      <c r="H91" s="143">
        <f ca="1">MIN(TblPop[[#This Row],[Peasants]],TblPop[[#This Row],[Jobs]])</f>
        <v>1600</v>
      </c>
      <c r="I91" s="142">
        <f ca="1">MIN(OFFSET(TblPop[[#This Row],[Jobs]],1,0)/TblPop[[#This Row],[Peasants]],1)</f>
        <v>0.78508341511285573</v>
      </c>
      <c r="J91" s="143">
        <f ca="1">SUM(TblConstr[[#This Row],[Tot Alc]:[Tot GT]],TblConstr[[#This Row],[Tot Shr]:[Tot Doc]],TblConstr[[#This Row],[Dest Alc]:[Dest GT]],TblConstr[[#This Row],[Dest Shr]:[Dest Doc]])*building_employment</f>
        <v>1600</v>
      </c>
      <c r="K91" s="144"/>
      <c r="L91" s="62">
        <f ca="1">TblPop[[#This Row],[Draftees]]</f>
        <v>100</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61</v>
      </c>
      <c r="Y91" s="97">
        <f ca="1">(TblPop[[#This Row],[Peasants]]-TblPop[[#This Row],[Draft Growth]])*raw_pop_growth</f>
        <v>60.54</v>
      </c>
      <c r="Z91" s="97">
        <f ca="1">IF(TblPop[[#This Row],[Military%]]&lt;TblMili[[#This Row],[Draftrate]],ROUND(TblPop[[#This Row],[Peasants]]*Constants!$B$55,0), 0)</f>
        <v>20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44874.666666666453</v>
      </c>
      <c r="C92" s="97">
        <f ca="1">OFFSET(TblPop[[#This Row],[Peasants]],-1,0)+OFFSET(TblPop[[#This Row],[Net Peasant]],-1,0)+TblMili[[#This Row],[Release Draft]]</f>
        <v>2038</v>
      </c>
      <c r="D92" s="97">
        <f ca="1">TblMili[[#This Row],[Military]]</f>
        <v>300</v>
      </c>
      <c r="E92" s="97">
        <f ca="1">TblMili[[#This Row],[Draftees]]</f>
        <v>100</v>
      </c>
      <c r="F92" s="97">
        <f ca="1">TblPop[[#This Row],[Peasants]]+TblPop[[#This Row],[Military]]</f>
        <v>2338</v>
      </c>
      <c r="G92" s="142">
        <f ca="1">TblPop[[#This Row],[Military]]/TblPop[[#This Row],[Total]]</f>
        <v>0.12831479897348161</v>
      </c>
      <c r="H92" s="143">
        <f ca="1">MIN(TblPop[[#This Row],[Peasants]],TblPop[[#This Row],[Jobs]])</f>
        <v>1600</v>
      </c>
      <c r="I92" s="142">
        <f ca="1">MIN(OFFSET(TblPop[[#This Row],[Jobs]],1,0)/TblPop[[#This Row],[Peasants]],1)</f>
        <v>0.78508341511285573</v>
      </c>
      <c r="J92" s="143">
        <f ca="1">SUM(TblConstr[[#This Row],[Tot Alc]:[Tot GT]],TblConstr[[#This Row],[Tot Shr]:[Tot Doc]],TblConstr[[#This Row],[Dest Alc]:[Dest GT]],TblConstr[[#This Row],[Dest Shr]:[Dest Doc]])*building_employment</f>
        <v>1600</v>
      </c>
      <c r="K92" s="144"/>
      <c r="L92" s="62">
        <f ca="1">TblPop[[#This Row],[Draftees]]</f>
        <v>100</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61</v>
      </c>
      <c r="Y92" s="97">
        <f ca="1">(TblPop[[#This Row],[Peasants]]-TblPop[[#This Row],[Draft Growth]])*raw_pop_growth</f>
        <v>60.54</v>
      </c>
      <c r="Z92" s="97">
        <f ca="1">IF(TblPop[[#This Row],[Military%]]&lt;TblMili[[#This Row],[Draftrate]],ROUND(TblPop[[#This Row],[Peasants]]*Constants!$B$55,0), 0)</f>
        <v>20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44874.708333333117</v>
      </c>
      <c r="C93" s="97">
        <f ca="1">OFFSET(TblPop[[#This Row],[Peasants]],-1,0)+OFFSET(TblPop[[#This Row],[Net Peasant]],-1,0)+TblMili[[#This Row],[Release Draft]]</f>
        <v>2038</v>
      </c>
      <c r="D93" s="97">
        <f ca="1">TblMili[[#This Row],[Military]]</f>
        <v>300</v>
      </c>
      <c r="E93" s="97">
        <f ca="1">TblMili[[#This Row],[Draftees]]</f>
        <v>100</v>
      </c>
      <c r="F93" s="97">
        <f ca="1">TblPop[[#This Row],[Peasants]]+TblPop[[#This Row],[Military]]</f>
        <v>2338</v>
      </c>
      <c r="G93" s="142">
        <f ca="1">TblPop[[#This Row],[Military]]/TblPop[[#This Row],[Total]]</f>
        <v>0.12831479897348161</v>
      </c>
      <c r="H93" s="143">
        <f ca="1">MIN(TblPop[[#This Row],[Peasants]],TblPop[[#This Row],[Jobs]])</f>
        <v>1600</v>
      </c>
      <c r="I93" s="142">
        <f ca="1">MIN(OFFSET(TblPop[[#This Row],[Jobs]],1,0)/TblPop[[#This Row],[Peasants]],1)</f>
        <v>0.78508341511285573</v>
      </c>
      <c r="J93" s="143">
        <f ca="1">SUM(TblConstr[[#This Row],[Tot Alc]:[Tot GT]],TblConstr[[#This Row],[Tot Shr]:[Tot Doc]],TblConstr[[#This Row],[Dest Alc]:[Dest GT]],TblConstr[[#This Row],[Dest Shr]:[Dest Doc]])*building_employment</f>
        <v>1600</v>
      </c>
      <c r="K93" s="144"/>
      <c r="L93" s="62">
        <f ca="1">TblPop[[#This Row],[Draftees]]</f>
        <v>100</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61</v>
      </c>
      <c r="Y93" s="97">
        <f ca="1">(TblPop[[#This Row],[Peasants]]-TblPop[[#This Row],[Draft Growth]])*raw_pop_growth</f>
        <v>60.54</v>
      </c>
      <c r="Z93" s="97">
        <f ca="1">IF(TblPop[[#This Row],[Military%]]&lt;TblMili[[#This Row],[Draftrate]],ROUND(TblPop[[#This Row],[Peasants]]*Constants!$B$55,0), 0)</f>
        <v>20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44874.749999999782</v>
      </c>
      <c r="C94" s="97">
        <f ca="1">OFFSET(TblPop[[#This Row],[Peasants]],-1,0)+OFFSET(TblPop[[#This Row],[Net Peasant]],-1,0)+TblMili[[#This Row],[Release Draft]]</f>
        <v>2038</v>
      </c>
      <c r="D94" s="97">
        <f ca="1">TblMili[[#This Row],[Military]]</f>
        <v>300</v>
      </c>
      <c r="E94" s="97">
        <f ca="1">TblMili[[#This Row],[Draftees]]</f>
        <v>100</v>
      </c>
      <c r="F94" s="97">
        <f ca="1">TblPop[[#This Row],[Peasants]]+TblPop[[#This Row],[Military]]</f>
        <v>2338</v>
      </c>
      <c r="G94" s="142">
        <f ca="1">TblPop[[#This Row],[Military]]/TblPop[[#This Row],[Total]]</f>
        <v>0.12831479897348161</v>
      </c>
      <c r="H94" s="143">
        <f ca="1">MIN(TblPop[[#This Row],[Peasants]],TblPop[[#This Row],[Jobs]])</f>
        <v>1600</v>
      </c>
      <c r="I94" s="142">
        <f ca="1">MIN(OFFSET(TblPop[[#This Row],[Jobs]],1,0)/TblPop[[#This Row],[Peasants]],1)</f>
        <v>0.78508341511285573</v>
      </c>
      <c r="J94" s="143">
        <f ca="1">SUM(TblConstr[[#This Row],[Tot Alc]:[Tot GT]],TblConstr[[#This Row],[Tot Shr]:[Tot Doc]],TblConstr[[#This Row],[Dest Alc]:[Dest GT]],TblConstr[[#This Row],[Dest Shr]:[Dest Doc]])*building_employment</f>
        <v>1600</v>
      </c>
      <c r="K94" s="144"/>
      <c r="L94" s="62">
        <f ca="1">TblPop[[#This Row],[Draftees]]</f>
        <v>100</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61</v>
      </c>
      <c r="Y94" s="97">
        <f ca="1">(TblPop[[#This Row],[Peasants]]-TblPop[[#This Row],[Draft Growth]])*raw_pop_growth</f>
        <v>60.54</v>
      </c>
      <c r="Z94" s="97">
        <f ca="1">IF(TblPop[[#This Row],[Military%]]&lt;TblMili[[#This Row],[Draftrate]],ROUND(TblPop[[#This Row],[Peasants]]*Constants!$B$55,0), 0)</f>
        <v>20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44874.791666666446</v>
      </c>
      <c r="C95" s="97">
        <f ca="1">OFFSET(TblPop[[#This Row],[Peasants]],-1,0)+OFFSET(TblPop[[#This Row],[Net Peasant]],-1,0)+TblMili[[#This Row],[Release Draft]]</f>
        <v>2038</v>
      </c>
      <c r="D95" s="97">
        <f ca="1">TblMili[[#This Row],[Military]]</f>
        <v>300</v>
      </c>
      <c r="E95" s="97">
        <f ca="1">TblMili[[#This Row],[Draftees]]</f>
        <v>100</v>
      </c>
      <c r="F95" s="97">
        <f ca="1">TblPop[[#This Row],[Peasants]]+TblPop[[#This Row],[Military]]</f>
        <v>2338</v>
      </c>
      <c r="G95" s="142">
        <f ca="1">TblPop[[#This Row],[Military]]/TblPop[[#This Row],[Total]]</f>
        <v>0.12831479897348161</v>
      </c>
      <c r="H95" s="143">
        <f ca="1">MIN(TblPop[[#This Row],[Peasants]],TblPop[[#This Row],[Jobs]])</f>
        <v>1600</v>
      </c>
      <c r="I95" s="142">
        <f ca="1">MIN(OFFSET(TblPop[[#This Row],[Jobs]],1,0)/TblPop[[#This Row],[Peasants]],1)</f>
        <v>0.78508341511285573</v>
      </c>
      <c r="J95" s="143">
        <f ca="1">SUM(TblConstr[[#This Row],[Tot Alc]:[Tot GT]],TblConstr[[#This Row],[Tot Shr]:[Tot Doc]],TblConstr[[#This Row],[Dest Alc]:[Dest GT]],TblConstr[[#This Row],[Dest Shr]:[Dest Doc]])*building_employment</f>
        <v>1600</v>
      </c>
      <c r="K95" s="144"/>
      <c r="L95" s="62">
        <f ca="1">TblPop[[#This Row],[Draftees]]</f>
        <v>100</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61</v>
      </c>
      <c r="Y95" s="97">
        <f ca="1">(TblPop[[#This Row],[Peasants]]-TblPop[[#This Row],[Draft Growth]])*raw_pop_growth</f>
        <v>60.54</v>
      </c>
      <c r="Z95" s="97">
        <f ca="1">IF(TblPop[[#This Row],[Military%]]&lt;TblMili[[#This Row],[Draftrate]],ROUND(TblPop[[#This Row],[Peasants]]*Constants!$B$55,0), 0)</f>
        <v>20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44874.83333333311</v>
      </c>
      <c r="C96" s="97">
        <f ca="1">OFFSET(TblPop[[#This Row],[Peasants]],-1,0)+OFFSET(TblPop[[#This Row],[Net Peasant]],-1,0)+TblMili[[#This Row],[Release Draft]]</f>
        <v>2038</v>
      </c>
      <c r="D96" s="97">
        <f ca="1">TblMili[[#This Row],[Military]]</f>
        <v>300</v>
      </c>
      <c r="E96" s="97">
        <f ca="1">TblMili[[#This Row],[Draftees]]</f>
        <v>100</v>
      </c>
      <c r="F96" s="97">
        <f ca="1">TblPop[[#This Row],[Peasants]]+TblPop[[#This Row],[Military]]</f>
        <v>2338</v>
      </c>
      <c r="G96" s="142">
        <f ca="1">TblPop[[#This Row],[Military]]/TblPop[[#This Row],[Total]]</f>
        <v>0.12831479897348161</v>
      </c>
      <c r="H96" s="143">
        <f ca="1">MIN(TblPop[[#This Row],[Peasants]],TblPop[[#This Row],[Jobs]])</f>
        <v>1600</v>
      </c>
      <c r="I96" s="142">
        <f ca="1">MIN(OFFSET(TblPop[[#This Row],[Jobs]],1,0)/TblPop[[#This Row],[Peasants]],1)</f>
        <v>0.78508341511285573</v>
      </c>
      <c r="J96" s="143">
        <f ca="1">SUM(TblConstr[[#This Row],[Tot Alc]:[Tot GT]],TblConstr[[#This Row],[Tot Shr]:[Tot Doc]],TblConstr[[#This Row],[Dest Alc]:[Dest GT]],TblConstr[[#This Row],[Dest Shr]:[Dest Doc]])*building_employment</f>
        <v>1600</v>
      </c>
      <c r="K96" s="144"/>
      <c r="L96" s="62">
        <f ca="1">TblPop[[#This Row],[Draftees]]</f>
        <v>100</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61</v>
      </c>
      <c r="Y96" s="97">
        <f ca="1">(TblPop[[#This Row],[Peasants]]-TblPop[[#This Row],[Draft Growth]])*raw_pop_growth</f>
        <v>60.54</v>
      </c>
      <c r="Z96" s="97">
        <f ca="1">IF(TblPop[[#This Row],[Military%]]&lt;TblMili[[#This Row],[Draftrate]],ROUND(TblPop[[#This Row],[Peasants]]*Constants!$B$55,0), 0)</f>
        <v>20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44874.874999999774</v>
      </c>
      <c r="C97" s="97">
        <f ca="1">OFFSET(TblPop[[#This Row],[Peasants]],-1,0)+OFFSET(TblPop[[#This Row],[Net Peasant]],-1,0)+TblMili[[#This Row],[Release Draft]]</f>
        <v>2038</v>
      </c>
      <c r="D97" s="97">
        <f ca="1">TblMili[[#This Row],[Military]]</f>
        <v>300</v>
      </c>
      <c r="E97" s="97">
        <f ca="1">TblMili[[#This Row],[Draftees]]</f>
        <v>100</v>
      </c>
      <c r="F97" s="97">
        <f ca="1">TblPop[[#This Row],[Peasants]]+TblPop[[#This Row],[Military]]</f>
        <v>2338</v>
      </c>
      <c r="G97" s="142">
        <f ca="1">TblPop[[#This Row],[Military]]/TblPop[[#This Row],[Total]]</f>
        <v>0.12831479897348161</v>
      </c>
      <c r="H97" s="143">
        <f ca="1">MIN(TblPop[[#This Row],[Peasants]],TblPop[[#This Row],[Jobs]])</f>
        <v>1600</v>
      </c>
      <c r="I97" s="142">
        <f ca="1">MIN(OFFSET(TblPop[[#This Row],[Jobs]],1,0)/TblPop[[#This Row],[Peasants]],1)</f>
        <v>0.78508341511285573</v>
      </c>
      <c r="J97" s="143">
        <f ca="1">SUM(TblConstr[[#This Row],[Tot Alc]:[Tot GT]],TblConstr[[#This Row],[Tot Shr]:[Tot Doc]],TblConstr[[#This Row],[Dest Alc]:[Dest GT]],TblConstr[[#This Row],[Dest Shr]:[Dest Doc]])*building_employment</f>
        <v>1600</v>
      </c>
      <c r="K97" s="144"/>
      <c r="L97" s="62">
        <f ca="1">TblPop[[#This Row],[Draftees]]</f>
        <v>100</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61</v>
      </c>
      <c r="Y97" s="97">
        <f ca="1">(TblPop[[#This Row],[Peasants]]-TblPop[[#This Row],[Draft Growth]])*raw_pop_growth</f>
        <v>60.54</v>
      </c>
      <c r="Z97" s="97">
        <f ca="1">IF(TblPop[[#This Row],[Military%]]&lt;TblMili[[#This Row],[Draftrate]],ROUND(TblPop[[#This Row],[Peasants]]*Constants!$B$55,0), 0)</f>
        <v>20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44874.916666666439</v>
      </c>
      <c r="C98" s="97">
        <f ca="1">OFFSET(TblPop[[#This Row],[Peasants]],-1,0)+OFFSET(TblPop[[#This Row],[Net Peasant]],-1,0)+TblMili[[#This Row],[Release Draft]]</f>
        <v>2038</v>
      </c>
      <c r="D98" s="97">
        <f ca="1">TblMili[[#This Row],[Military]]</f>
        <v>300</v>
      </c>
      <c r="E98" s="97">
        <f ca="1">TblMili[[#This Row],[Draftees]]</f>
        <v>100</v>
      </c>
      <c r="F98" s="97">
        <f ca="1">TblPop[[#This Row],[Peasants]]+TblPop[[#This Row],[Military]]</f>
        <v>2338</v>
      </c>
      <c r="G98" s="142">
        <f ca="1">TblPop[[#This Row],[Military]]/TblPop[[#This Row],[Total]]</f>
        <v>0.12831479897348161</v>
      </c>
      <c r="H98" s="143">
        <f ca="1">MIN(TblPop[[#This Row],[Peasants]],TblPop[[#This Row],[Jobs]])</f>
        <v>1600</v>
      </c>
      <c r="I98" s="142">
        <f ca="1">MIN(OFFSET(TblPop[[#This Row],[Jobs]],1,0)/TblPop[[#This Row],[Peasants]],1)</f>
        <v>0.78508341511285573</v>
      </c>
      <c r="J98" s="143">
        <f ca="1">SUM(TblConstr[[#This Row],[Tot Alc]:[Tot GT]],TblConstr[[#This Row],[Tot Shr]:[Tot Doc]],TblConstr[[#This Row],[Dest Alc]:[Dest GT]],TblConstr[[#This Row],[Dest Shr]:[Dest Doc]])*building_employment</f>
        <v>1600</v>
      </c>
      <c r="K98" s="144"/>
      <c r="L98" s="62">
        <f ca="1">TblPop[[#This Row],[Draftees]]</f>
        <v>100</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61</v>
      </c>
      <c r="Y98" s="97">
        <f ca="1">(TblPop[[#This Row],[Peasants]]-TblPop[[#This Row],[Draft Growth]])*raw_pop_growth</f>
        <v>60.54</v>
      </c>
      <c r="Z98" s="97">
        <f ca="1">IF(TblPop[[#This Row],[Military%]]&lt;TblMili[[#This Row],[Draftrate]],ROUND(TblPop[[#This Row],[Peasants]]*Constants!$B$55,0), 0)</f>
        <v>20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44874.958333333103</v>
      </c>
      <c r="C99" s="97">
        <f ca="1">OFFSET(TblPop[[#This Row],[Peasants]],-1,0)+OFFSET(TblPop[[#This Row],[Net Peasant]],-1,0)+TblMili[[#This Row],[Release Draft]]</f>
        <v>2038</v>
      </c>
      <c r="D99" s="97">
        <f ca="1">TblMili[[#This Row],[Military]]</f>
        <v>300</v>
      </c>
      <c r="E99" s="97">
        <f ca="1">TblMili[[#This Row],[Draftees]]</f>
        <v>100</v>
      </c>
      <c r="F99" s="97">
        <f ca="1">TblPop[[#This Row],[Peasants]]+TblPop[[#This Row],[Military]]</f>
        <v>2338</v>
      </c>
      <c r="G99" s="142">
        <f ca="1">TblPop[[#This Row],[Military]]/TblPop[[#This Row],[Total]]</f>
        <v>0.12831479897348161</v>
      </c>
      <c r="H99" s="143">
        <f ca="1">MIN(TblPop[[#This Row],[Peasants]],TblPop[[#This Row],[Jobs]])</f>
        <v>1600</v>
      </c>
      <c r="I99" s="142">
        <f ca="1">MIN(OFFSET(TblPop[[#This Row],[Jobs]],1,0)/TblPop[[#This Row],[Peasants]],1)</f>
        <v>0.78508341511285573</v>
      </c>
      <c r="J99" s="143">
        <f ca="1">SUM(TblConstr[[#This Row],[Tot Alc]:[Tot GT]],TblConstr[[#This Row],[Tot Shr]:[Tot Doc]],TblConstr[[#This Row],[Dest Alc]:[Dest GT]],TblConstr[[#This Row],[Dest Shr]:[Dest Doc]])*building_employment</f>
        <v>1600</v>
      </c>
      <c r="K99" s="144"/>
      <c r="L99" s="62">
        <f ca="1">TblPop[[#This Row],[Draftees]]</f>
        <v>100</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61</v>
      </c>
      <c r="Y99" s="97">
        <f ca="1">(TblPop[[#This Row],[Peasants]]-TblPop[[#This Row],[Draft Growth]])*raw_pop_growth</f>
        <v>60.54</v>
      </c>
      <c r="Z99" s="97">
        <f ca="1">IF(TblPop[[#This Row],[Military%]]&lt;TblMili[[#This Row],[Draftrate]],ROUND(TblPop[[#This Row],[Peasants]]*Constants!$B$55,0), 0)</f>
        <v>20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44874.999999999767</v>
      </c>
      <c r="C100" s="97">
        <f ca="1">OFFSET(TblPop[[#This Row],[Peasants]],-1,0)+OFFSET(TblPop[[#This Row],[Net Peasant]],-1,0)+TblMili[[#This Row],[Release Draft]]</f>
        <v>2038</v>
      </c>
      <c r="D100" s="97">
        <f ca="1">TblMili[[#This Row],[Military]]</f>
        <v>300</v>
      </c>
      <c r="E100" s="97">
        <f ca="1">TblMili[[#This Row],[Draftees]]</f>
        <v>100</v>
      </c>
      <c r="F100" s="97">
        <f ca="1">TblPop[[#This Row],[Peasants]]+TblPop[[#This Row],[Military]]</f>
        <v>2338</v>
      </c>
      <c r="G100" s="142">
        <f ca="1">TblPop[[#This Row],[Military]]/TblPop[[#This Row],[Total]]</f>
        <v>0.12831479897348161</v>
      </c>
      <c r="H100" s="143">
        <f ca="1">MIN(TblPop[[#This Row],[Peasants]],TblPop[[#This Row],[Jobs]])</f>
        <v>1600</v>
      </c>
      <c r="I100" s="142">
        <f ca="1">MIN(OFFSET(TblPop[[#This Row],[Jobs]],1,0)/TblPop[[#This Row],[Peasants]],1)</f>
        <v>0.78508341511285573</v>
      </c>
      <c r="J100" s="143">
        <f ca="1">SUM(TblConstr[[#This Row],[Tot Alc]:[Tot GT]],TblConstr[[#This Row],[Tot Shr]:[Tot Doc]],TblConstr[[#This Row],[Dest Alc]:[Dest GT]],TblConstr[[#This Row],[Dest Shr]:[Dest Doc]])*building_employment</f>
        <v>1600</v>
      </c>
      <c r="K100" s="144"/>
      <c r="L100" s="62">
        <f ca="1">TblPop[[#This Row],[Draftees]]</f>
        <v>100</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61</v>
      </c>
      <c r="Y100" s="97">
        <f ca="1">(TblPop[[#This Row],[Peasants]]-TblPop[[#This Row],[Draft Growth]])*raw_pop_growth</f>
        <v>60.54</v>
      </c>
      <c r="Z100" s="97">
        <f ca="1">IF(TblPop[[#This Row],[Military%]]&lt;TblMili[[#This Row],[Draftrate]],ROUND(TblPop[[#This Row],[Peasants]]*Constants!$B$55,0), 0)</f>
        <v>20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44875.041666666431</v>
      </c>
      <c r="C101" s="97">
        <f ca="1">OFFSET(TblPop[[#This Row],[Peasants]],-1,0)+OFFSET(TblPop[[#This Row],[Net Peasant]],-1,0)+TblMili[[#This Row],[Release Draft]]</f>
        <v>2038</v>
      </c>
      <c r="D101" s="97">
        <f ca="1">TblMili[[#This Row],[Military]]</f>
        <v>300</v>
      </c>
      <c r="E101" s="97">
        <f ca="1">TblMili[[#This Row],[Draftees]]</f>
        <v>100</v>
      </c>
      <c r="F101" s="97">
        <f ca="1">TblPop[[#This Row],[Peasants]]+TblPop[[#This Row],[Military]]</f>
        <v>2338</v>
      </c>
      <c r="G101" s="142">
        <f ca="1">TblPop[[#This Row],[Military]]/TblPop[[#This Row],[Total]]</f>
        <v>0.12831479897348161</v>
      </c>
      <c r="H101" s="143">
        <f ca="1">MIN(TblPop[[#This Row],[Peasants]],TblPop[[#This Row],[Jobs]])</f>
        <v>1600</v>
      </c>
      <c r="I101" s="142">
        <f ca="1">MIN(OFFSET(TblPop[[#This Row],[Jobs]],1,0)/TblPop[[#This Row],[Peasants]],1)</f>
        <v>0.78508341511285573</v>
      </c>
      <c r="J101" s="143">
        <f ca="1">SUM(TblConstr[[#This Row],[Tot Alc]:[Tot GT]],TblConstr[[#This Row],[Tot Shr]:[Tot Doc]],TblConstr[[#This Row],[Dest Alc]:[Dest GT]],TblConstr[[#This Row],[Dest Shr]:[Dest Doc]])*building_employment</f>
        <v>1600</v>
      </c>
      <c r="K101" s="144"/>
      <c r="L101" s="62">
        <f ca="1">TblPop[[#This Row],[Draftees]]</f>
        <v>100</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61</v>
      </c>
      <c r="Y101" s="97">
        <f ca="1">(TblPop[[#This Row],[Peasants]]-TblPop[[#This Row],[Draft Growth]])*raw_pop_growth</f>
        <v>60.54</v>
      </c>
      <c r="Z101" s="97">
        <f ca="1">IF(TblPop[[#This Row],[Military%]]&lt;TblMili[[#This Row],[Draftrate]],ROUND(TblPop[[#This Row],[Peasants]]*Constants!$B$55,0), 0)</f>
        <v>20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44875.083333333096</v>
      </c>
      <c r="C102" s="97">
        <f ca="1">OFFSET(TblPop[[#This Row],[Peasants]],-1,0)+OFFSET(TblPop[[#This Row],[Net Peasant]],-1,0)+TblMili[[#This Row],[Release Draft]]</f>
        <v>2038</v>
      </c>
      <c r="D102" s="97">
        <f ca="1">TblMili[[#This Row],[Military]]</f>
        <v>300</v>
      </c>
      <c r="E102" s="97">
        <f ca="1">TblMili[[#This Row],[Draftees]]</f>
        <v>100</v>
      </c>
      <c r="F102" s="97">
        <f ca="1">TblPop[[#This Row],[Peasants]]+TblPop[[#This Row],[Military]]</f>
        <v>2338</v>
      </c>
      <c r="G102" s="142">
        <f ca="1">TblPop[[#This Row],[Military]]/TblPop[[#This Row],[Total]]</f>
        <v>0.12831479897348161</v>
      </c>
      <c r="H102" s="143">
        <f ca="1">MIN(TblPop[[#This Row],[Peasants]],TblPop[[#This Row],[Jobs]])</f>
        <v>1600</v>
      </c>
      <c r="I102" s="142">
        <f ca="1">MIN(OFFSET(TblPop[[#This Row],[Jobs]],1,0)/TblPop[[#This Row],[Peasants]],1)</f>
        <v>0.78508341511285573</v>
      </c>
      <c r="J102" s="143">
        <f ca="1">SUM(TblConstr[[#This Row],[Tot Alc]:[Tot GT]],TblConstr[[#This Row],[Tot Shr]:[Tot Doc]],TblConstr[[#This Row],[Dest Alc]:[Dest GT]],TblConstr[[#This Row],[Dest Shr]:[Dest Doc]])*building_employment</f>
        <v>1600</v>
      </c>
      <c r="K102" s="144"/>
      <c r="L102" s="62">
        <f ca="1">TblPop[[#This Row],[Draftees]]</f>
        <v>100</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61</v>
      </c>
      <c r="Y102" s="97">
        <f ca="1">(TblPop[[#This Row],[Peasants]]-TblPop[[#This Row],[Draft Growth]])*raw_pop_growth</f>
        <v>60.54</v>
      </c>
      <c r="Z102" s="97">
        <f ca="1">IF(TblPop[[#This Row],[Military%]]&lt;TblMili[[#This Row],[Draftrate]],ROUND(TblPop[[#This Row],[Peasants]]*Constants!$B$55,0), 0)</f>
        <v>20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44875.12499999976</v>
      </c>
      <c r="C103" s="97">
        <f ca="1">OFFSET(TblPop[[#This Row],[Peasants]],-1,0)+OFFSET(TblPop[[#This Row],[Net Peasant]],-1,0)+TblMili[[#This Row],[Release Draft]]</f>
        <v>2038</v>
      </c>
      <c r="D103" s="97">
        <f ca="1">TblMili[[#This Row],[Military]]</f>
        <v>300</v>
      </c>
      <c r="E103" s="97">
        <f ca="1">TblMili[[#This Row],[Draftees]]</f>
        <v>100</v>
      </c>
      <c r="F103" s="97">
        <f ca="1">TblPop[[#This Row],[Peasants]]+TblPop[[#This Row],[Military]]</f>
        <v>2338</v>
      </c>
      <c r="G103" s="142">
        <f ca="1">TblPop[[#This Row],[Military]]/TblPop[[#This Row],[Total]]</f>
        <v>0.12831479897348161</v>
      </c>
      <c r="H103" s="143">
        <f ca="1">MIN(TblPop[[#This Row],[Peasants]],TblPop[[#This Row],[Jobs]])</f>
        <v>1600</v>
      </c>
      <c r="I103" s="142">
        <f ca="1">MIN(OFFSET(TblPop[[#This Row],[Jobs]],1,0)/TblPop[[#This Row],[Peasants]],1)</f>
        <v>0.78508341511285573</v>
      </c>
      <c r="J103" s="143">
        <f ca="1">SUM(TblConstr[[#This Row],[Tot Alc]:[Tot GT]],TblConstr[[#This Row],[Tot Shr]:[Tot Doc]],TblConstr[[#This Row],[Dest Alc]:[Dest GT]],TblConstr[[#This Row],[Dest Shr]:[Dest Doc]])*building_employment</f>
        <v>1600</v>
      </c>
      <c r="K103" s="144"/>
      <c r="L103" s="62">
        <f ca="1">TblPop[[#This Row],[Draftees]]</f>
        <v>100</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61</v>
      </c>
      <c r="Y103" s="97">
        <f ca="1">(TblPop[[#This Row],[Peasants]]-TblPop[[#This Row],[Draft Growth]])*raw_pop_growth</f>
        <v>60.54</v>
      </c>
      <c r="Z103" s="97">
        <f ca="1">IF(TblPop[[#This Row],[Military%]]&lt;TblMili[[#This Row],[Draftrate]],ROUND(TblPop[[#This Row],[Peasants]]*Constants!$B$55,0), 0)</f>
        <v>20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44875.166666666424</v>
      </c>
      <c r="C104" s="97">
        <f ca="1">OFFSET(TblPop[[#This Row],[Peasants]],-1,0)+OFFSET(TblPop[[#This Row],[Net Peasant]],-1,0)+TblMili[[#This Row],[Release Draft]]</f>
        <v>2038</v>
      </c>
      <c r="D104" s="97">
        <f ca="1">TblMili[[#This Row],[Military]]</f>
        <v>300</v>
      </c>
      <c r="E104" s="97">
        <f ca="1">TblMili[[#This Row],[Draftees]]</f>
        <v>100</v>
      </c>
      <c r="F104" s="97">
        <f ca="1">TblPop[[#This Row],[Peasants]]+TblPop[[#This Row],[Military]]</f>
        <v>2338</v>
      </c>
      <c r="G104" s="142">
        <f ca="1">TblPop[[#This Row],[Military]]/TblPop[[#This Row],[Total]]</f>
        <v>0.12831479897348161</v>
      </c>
      <c r="H104" s="143">
        <f ca="1">MIN(TblPop[[#This Row],[Peasants]],TblPop[[#This Row],[Jobs]])</f>
        <v>1600</v>
      </c>
      <c r="I104" s="142">
        <f ca="1">MIN(OFFSET(TblPop[[#This Row],[Jobs]],1,0)/TblPop[[#This Row],[Peasants]],1)</f>
        <v>0.78508341511285573</v>
      </c>
      <c r="J104" s="143">
        <f ca="1">SUM(TblConstr[[#This Row],[Tot Alc]:[Tot GT]],TblConstr[[#This Row],[Tot Shr]:[Tot Doc]],TblConstr[[#This Row],[Dest Alc]:[Dest GT]],TblConstr[[#This Row],[Dest Shr]:[Dest Doc]])*building_employment</f>
        <v>1600</v>
      </c>
      <c r="K104" s="144"/>
      <c r="L104" s="62">
        <f ca="1">TblPop[[#This Row],[Draftees]]</f>
        <v>100</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61</v>
      </c>
      <c r="Y104" s="97">
        <f ca="1">(TblPop[[#This Row],[Peasants]]-TblPop[[#This Row],[Draft Growth]])*raw_pop_growth</f>
        <v>60.54</v>
      </c>
      <c r="Z104" s="97">
        <f ca="1">IF(TblPop[[#This Row],[Military%]]&lt;TblMili[[#This Row],[Draftrate]],ROUND(TblPop[[#This Row],[Peasants]]*Constants!$B$55,0), 0)</f>
        <v>20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44875.208333333088</v>
      </c>
      <c r="C105" s="97">
        <f ca="1">OFFSET(TblPop[[#This Row],[Peasants]],-1,0)+OFFSET(TblPop[[#This Row],[Net Peasant]],-1,0)+TblMili[[#This Row],[Release Draft]]</f>
        <v>2038</v>
      </c>
      <c r="D105" s="97">
        <f ca="1">TblMili[[#This Row],[Military]]</f>
        <v>300</v>
      </c>
      <c r="E105" s="97">
        <f ca="1">TblMili[[#This Row],[Draftees]]</f>
        <v>100</v>
      </c>
      <c r="F105" s="97">
        <f ca="1">TblPop[[#This Row],[Peasants]]+TblPop[[#This Row],[Military]]</f>
        <v>2338</v>
      </c>
      <c r="G105" s="142">
        <f ca="1">TblPop[[#This Row],[Military]]/TblPop[[#This Row],[Total]]</f>
        <v>0.12831479897348161</v>
      </c>
      <c r="H105" s="143">
        <f ca="1">MIN(TblPop[[#This Row],[Peasants]],TblPop[[#This Row],[Jobs]])</f>
        <v>1600</v>
      </c>
      <c r="I105" s="142">
        <f ca="1">MIN(OFFSET(TblPop[[#This Row],[Jobs]],1,0)/TblPop[[#This Row],[Peasants]],1)</f>
        <v>0.78508341511285573</v>
      </c>
      <c r="J105" s="143">
        <f ca="1">SUM(TblConstr[[#This Row],[Tot Alc]:[Tot GT]],TblConstr[[#This Row],[Tot Shr]:[Tot Doc]],TblConstr[[#This Row],[Dest Alc]:[Dest GT]],TblConstr[[#This Row],[Dest Shr]:[Dest Doc]])*building_employment</f>
        <v>1600</v>
      </c>
      <c r="K105" s="144"/>
      <c r="L105" s="62">
        <f ca="1">TblPop[[#This Row],[Draftees]]</f>
        <v>100</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61</v>
      </c>
      <c r="Y105" s="97">
        <f ca="1">(TblPop[[#This Row],[Peasants]]-TblPop[[#This Row],[Draft Growth]])*raw_pop_growth</f>
        <v>60.54</v>
      </c>
      <c r="Z105" s="97">
        <f ca="1">IF(TblPop[[#This Row],[Military%]]&lt;TblMili[[#This Row],[Draftrate]],ROUND(TblPop[[#This Row],[Peasants]]*Constants!$B$55,0), 0)</f>
        <v>20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44875.249999999753</v>
      </c>
      <c r="C106" s="97">
        <f ca="1">OFFSET(TblPop[[#This Row],[Peasants]],-1,0)+OFFSET(TblPop[[#This Row],[Net Peasant]],-1,0)+TblMili[[#This Row],[Release Draft]]</f>
        <v>2038</v>
      </c>
      <c r="D106" s="97">
        <f ca="1">TblMili[[#This Row],[Military]]</f>
        <v>300</v>
      </c>
      <c r="E106" s="97">
        <f ca="1">TblMili[[#This Row],[Draftees]]</f>
        <v>100</v>
      </c>
      <c r="F106" s="97">
        <f ca="1">TblPop[[#This Row],[Peasants]]+TblPop[[#This Row],[Military]]</f>
        <v>2338</v>
      </c>
      <c r="G106" s="142">
        <f ca="1">TblPop[[#This Row],[Military]]/TblPop[[#This Row],[Total]]</f>
        <v>0.12831479897348161</v>
      </c>
      <c r="H106" s="143">
        <f ca="1">MIN(TblPop[[#This Row],[Peasants]],TblPop[[#This Row],[Jobs]])</f>
        <v>1600</v>
      </c>
      <c r="I106" s="142">
        <f ca="1">MIN(OFFSET(TblPop[[#This Row],[Jobs]],1,0)/TblPop[[#This Row],[Peasants]],1)</f>
        <v>0.78508341511285573</v>
      </c>
      <c r="J106" s="143">
        <f ca="1">SUM(TblConstr[[#This Row],[Tot Alc]:[Tot GT]],TblConstr[[#This Row],[Tot Shr]:[Tot Doc]],TblConstr[[#This Row],[Dest Alc]:[Dest GT]],TblConstr[[#This Row],[Dest Shr]:[Dest Doc]])*building_employment</f>
        <v>1600</v>
      </c>
      <c r="K106" s="144"/>
      <c r="L106" s="62">
        <f ca="1">TblPop[[#This Row],[Draftees]]</f>
        <v>100</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61</v>
      </c>
      <c r="Y106" s="97">
        <f ca="1">(TblPop[[#This Row],[Peasants]]-TblPop[[#This Row],[Draft Growth]])*raw_pop_growth</f>
        <v>60.54</v>
      </c>
      <c r="Z106" s="97">
        <f ca="1">IF(TblPop[[#This Row],[Military%]]&lt;TblMili[[#This Row],[Draftrate]],ROUND(TblPop[[#This Row],[Peasants]]*Constants!$B$55,0), 0)</f>
        <v>20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44875.291666666417</v>
      </c>
      <c r="C107" s="97">
        <f ca="1">OFFSET(TblPop[[#This Row],[Peasants]],-1,0)+OFFSET(TblPop[[#This Row],[Net Peasant]],-1,0)+TblMili[[#This Row],[Release Draft]]</f>
        <v>2038</v>
      </c>
      <c r="D107" s="97">
        <f ca="1">TblMili[[#This Row],[Military]]</f>
        <v>300</v>
      </c>
      <c r="E107" s="97">
        <f ca="1">TblMili[[#This Row],[Draftees]]</f>
        <v>100</v>
      </c>
      <c r="F107" s="97">
        <f ca="1">TblPop[[#This Row],[Peasants]]+TblPop[[#This Row],[Military]]</f>
        <v>2338</v>
      </c>
      <c r="G107" s="142">
        <f ca="1">TblPop[[#This Row],[Military]]/TblPop[[#This Row],[Total]]</f>
        <v>0.12831479897348161</v>
      </c>
      <c r="H107" s="143">
        <f ca="1">MIN(TblPop[[#This Row],[Peasants]],TblPop[[#This Row],[Jobs]])</f>
        <v>1600</v>
      </c>
      <c r="I107" s="142">
        <f ca="1">MIN(OFFSET(TblPop[[#This Row],[Jobs]],1,0)/TblPop[[#This Row],[Peasants]],1)</f>
        <v>0.78508341511285573</v>
      </c>
      <c r="J107" s="143">
        <f ca="1">SUM(TblConstr[[#This Row],[Tot Alc]:[Tot GT]],TblConstr[[#This Row],[Tot Shr]:[Tot Doc]],TblConstr[[#This Row],[Dest Alc]:[Dest GT]],TblConstr[[#This Row],[Dest Shr]:[Dest Doc]])*building_employment</f>
        <v>1600</v>
      </c>
      <c r="K107" s="144"/>
      <c r="L107" s="62">
        <f ca="1">TblPop[[#This Row],[Draftees]]</f>
        <v>100</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61</v>
      </c>
      <c r="Y107" s="97">
        <f ca="1">(TblPop[[#This Row],[Peasants]]-TblPop[[#This Row],[Draft Growth]])*raw_pop_growth</f>
        <v>60.54</v>
      </c>
      <c r="Z107" s="97">
        <f ca="1">IF(TblPop[[#This Row],[Military%]]&lt;TblMili[[#This Row],[Draftrate]],ROUND(TblPop[[#This Row],[Peasants]]*Constants!$B$55,0), 0)</f>
        <v>20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44875.333333333081</v>
      </c>
      <c r="C108" s="97">
        <f ca="1">OFFSET(TblPop[[#This Row],[Peasants]],-1,0)+OFFSET(TblPop[[#This Row],[Net Peasant]],-1,0)+TblMili[[#This Row],[Release Draft]]</f>
        <v>2038</v>
      </c>
      <c r="D108" s="97">
        <f ca="1">TblMili[[#This Row],[Military]]</f>
        <v>300</v>
      </c>
      <c r="E108" s="97">
        <f ca="1">TblMili[[#This Row],[Draftees]]</f>
        <v>100</v>
      </c>
      <c r="F108" s="97">
        <f ca="1">TblPop[[#This Row],[Peasants]]+TblPop[[#This Row],[Military]]</f>
        <v>2338</v>
      </c>
      <c r="G108" s="142">
        <f ca="1">TblPop[[#This Row],[Military]]/TblPop[[#This Row],[Total]]</f>
        <v>0.12831479897348161</v>
      </c>
      <c r="H108" s="143">
        <f ca="1">MIN(TblPop[[#This Row],[Peasants]],TblPop[[#This Row],[Jobs]])</f>
        <v>1600</v>
      </c>
      <c r="I108" s="142">
        <f ca="1">MIN(OFFSET(TblPop[[#This Row],[Jobs]],1,0)/TblPop[[#This Row],[Peasants]],1)</f>
        <v>0.78508341511285573</v>
      </c>
      <c r="J108" s="143">
        <f ca="1">SUM(TblConstr[[#This Row],[Tot Alc]:[Tot GT]],TblConstr[[#This Row],[Tot Shr]:[Tot Doc]],TblConstr[[#This Row],[Dest Alc]:[Dest GT]],TblConstr[[#This Row],[Dest Shr]:[Dest Doc]])*building_employment</f>
        <v>1600</v>
      </c>
      <c r="K108" s="144"/>
      <c r="L108" s="62">
        <f ca="1">TblPop[[#This Row],[Draftees]]</f>
        <v>100</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61</v>
      </c>
      <c r="Y108" s="97">
        <f ca="1">(TblPop[[#This Row],[Peasants]]-TblPop[[#This Row],[Draft Growth]])*raw_pop_growth</f>
        <v>60.54</v>
      </c>
      <c r="Z108" s="97">
        <f ca="1">IF(TblPop[[#This Row],[Military%]]&lt;TblMili[[#This Row],[Draftrate]],ROUND(TblPop[[#This Row],[Peasants]]*Constants!$B$55,0), 0)</f>
        <v>20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44875.374999999745</v>
      </c>
      <c r="C109" s="97">
        <f ca="1">OFFSET(TblPop[[#This Row],[Peasants]],-1,0)+OFFSET(TblPop[[#This Row],[Net Peasant]],-1,0)+TblMili[[#This Row],[Release Draft]]</f>
        <v>2038</v>
      </c>
      <c r="D109" s="97">
        <f ca="1">TblMili[[#This Row],[Military]]</f>
        <v>300</v>
      </c>
      <c r="E109" s="97">
        <f ca="1">TblMili[[#This Row],[Draftees]]</f>
        <v>100</v>
      </c>
      <c r="F109" s="97">
        <f ca="1">TblPop[[#This Row],[Peasants]]+TblPop[[#This Row],[Military]]</f>
        <v>2338</v>
      </c>
      <c r="G109" s="142">
        <f ca="1">TblPop[[#This Row],[Military]]/TblPop[[#This Row],[Total]]</f>
        <v>0.12831479897348161</v>
      </c>
      <c r="H109" s="143">
        <f ca="1">MIN(TblPop[[#This Row],[Peasants]],TblPop[[#This Row],[Jobs]])</f>
        <v>1600</v>
      </c>
      <c r="I109" s="142">
        <f ca="1">MIN(OFFSET(TblPop[[#This Row],[Jobs]],1,0)/TblPop[[#This Row],[Peasants]],1)</f>
        <v>0.78508341511285573</v>
      </c>
      <c r="J109" s="143">
        <f ca="1">SUM(TblConstr[[#This Row],[Tot Alc]:[Tot GT]],TblConstr[[#This Row],[Tot Shr]:[Tot Doc]],TblConstr[[#This Row],[Dest Alc]:[Dest GT]],TblConstr[[#This Row],[Dest Shr]:[Dest Doc]])*building_employment</f>
        <v>1600</v>
      </c>
      <c r="K109" s="144"/>
      <c r="L109" s="62">
        <f ca="1">TblPop[[#This Row],[Draftees]]</f>
        <v>100</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61</v>
      </c>
      <c r="Y109" s="97">
        <f ca="1">(TblPop[[#This Row],[Peasants]]-TblPop[[#This Row],[Draft Growth]])*raw_pop_growth</f>
        <v>60.54</v>
      </c>
      <c r="Z109" s="97">
        <f ca="1">IF(TblPop[[#This Row],[Military%]]&lt;TblMili[[#This Row],[Draftrate]],ROUND(TblPop[[#This Row],[Peasants]]*Constants!$B$55,0), 0)</f>
        <v>20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44875.41666666641</v>
      </c>
      <c r="C110" s="97">
        <f ca="1">OFFSET(TblPop[[#This Row],[Peasants]],-1,0)+OFFSET(TblPop[[#This Row],[Net Peasant]],-1,0)+TblMili[[#This Row],[Release Draft]]</f>
        <v>2038</v>
      </c>
      <c r="D110" s="97">
        <f ca="1">TblMili[[#This Row],[Military]]</f>
        <v>300</v>
      </c>
      <c r="E110" s="97">
        <f ca="1">TblMili[[#This Row],[Draftees]]</f>
        <v>100</v>
      </c>
      <c r="F110" s="97">
        <f ca="1">TblPop[[#This Row],[Peasants]]+TblPop[[#This Row],[Military]]</f>
        <v>2338</v>
      </c>
      <c r="G110" s="142">
        <f ca="1">TblPop[[#This Row],[Military]]/TblPop[[#This Row],[Total]]</f>
        <v>0.12831479897348161</v>
      </c>
      <c r="H110" s="143">
        <f ca="1">MIN(TblPop[[#This Row],[Peasants]],TblPop[[#This Row],[Jobs]])</f>
        <v>1600</v>
      </c>
      <c r="I110" s="142">
        <f ca="1">MIN(OFFSET(TblPop[[#This Row],[Jobs]],1,0)/TblPop[[#This Row],[Peasants]],1)</f>
        <v>0.78508341511285573</v>
      </c>
      <c r="J110" s="143">
        <f ca="1">SUM(TblConstr[[#This Row],[Tot Alc]:[Tot GT]],TblConstr[[#This Row],[Tot Shr]:[Tot Doc]],TblConstr[[#This Row],[Dest Alc]:[Dest GT]],TblConstr[[#This Row],[Dest Shr]:[Dest Doc]])*building_employment</f>
        <v>1600</v>
      </c>
      <c r="K110" s="144"/>
      <c r="L110" s="62">
        <f ca="1">TblPop[[#This Row],[Draftees]]</f>
        <v>100</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61</v>
      </c>
      <c r="Y110" s="97">
        <f ca="1">(TblPop[[#This Row],[Peasants]]-TblPop[[#This Row],[Draft Growth]])*raw_pop_growth</f>
        <v>60.54</v>
      </c>
      <c r="Z110" s="97">
        <f ca="1">IF(TblPop[[#This Row],[Military%]]&lt;TblMili[[#This Row],[Draftrate]],ROUND(TblPop[[#This Row],[Peasants]]*Constants!$B$55,0), 0)</f>
        <v>20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44875.458333333074</v>
      </c>
      <c r="C111" s="97">
        <f ca="1">OFFSET(TblPop[[#This Row],[Peasants]],-1,0)+OFFSET(TblPop[[#This Row],[Net Peasant]],-1,0)+TblMili[[#This Row],[Release Draft]]</f>
        <v>2038</v>
      </c>
      <c r="D111" s="97">
        <f ca="1">TblMili[[#This Row],[Military]]</f>
        <v>300</v>
      </c>
      <c r="E111" s="97">
        <f ca="1">TblMili[[#This Row],[Draftees]]</f>
        <v>100</v>
      </c>
      <c r="F111" s="97">
        <f ca="1">TblPop[[#This Row],[Peasants]]+TblPop[[#This Row],[Military]]</f>
        <v>2338</v>
      </c>
      <c r="G111" s="142">
        <f ca="1">TblPop[[#This Row],[Military]]/TblPop[[#This Row],[Total]]</f>
        <v>0.12831479897348161</v>
      </c>
      <c r="H111" s="143">
        <f ca="1">MIN(TblPop[[#This Row],[Peasants]],TblPop[[#This Row],[Jobs]])</f>
        <v>1600</v>
      </c>
      <c r="I111" s="142">
        <f ca="1">MIN(OFFSET(TblPop[[#This Row],[Jobs]],1,0)/TblPop[[#This Row],[Peasants]],1)</f>
        <v>0.78508341511285573</v>
      </c>
      <c r="J111" s="143">
        <f ca="1">SUM(TblConstr[[#This Row],[Tot Alc]:[Tot GT]],TblConstr[[#This Row],[Tot Shr]:[Tot Doc]],TblConstr[[#This Row],[Dest Alc]:[Dest GT]],TblConstr[[#This Row],[Dest Shr]:[Dest Doc]])*building_employment</f>
        <v>1600</v>
      </c>
      <c r="K111" s="144"/>
      <c r="L111" s="62">
        <f ca="1">TblPop[[#This Row],[Draftees]]</f>
        <v>100</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61</v>
      </c>
      <c r="Y111" s="97">
        <f ca="1">(TblPop[[#This Row],[Peasants]]-TblPop[[#This Row],[Draft Growth]])*raw_pop_growth</f>
        <v>60.54</v>
      </c>
      <c r="Z111" s="97">
        <f ca="1">IF(TblPop[[#This Row],[Military%]]&lt;TblMili[[#This Row],[Draftrate]],ROUND(TblPop[[#This Row],[Peasants]]*Constants!$B$55,0), 0)</f>
        <v>20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44875.499999999738</v>
      </c>
      <c r="C112" s="97">
        <f ca="1">OFFSET(TblPop[[#This Row],[Peasants]],-1,0)+OFFSET(TblPop[[#This Row],[Net Peasant]],-1,0)+TblMili[[#This Row],[Release Draft]]</f>
        <v>2038</v>
      </c>
      <c r="D112" s="97">
        <f ca="1">TblMili[[#This Row],[Military]]</f>
        <v>300</v>
      </c>
      <c r="E112" s="97">
        <f ca="1">TblMili[[#This Row],[Draftees]]</f>
        <v>100</v>
      </c>
      <c r="F112" s="97">
        <f ca="1">TblPop[[#This Row],[Peasants]]+TblPop[[#This Row],[Military]]</f>
        <v>2338</v>
      </c>
      <c r="G112" s="142">
        <f ca="1">TblPop[[#This Row],[Military]]/TblPop[[#This Row],[Total]]</f>
        <v>0.12831479897348161</v>
      </c>
      <c r="H112" s="143">
        <f ca="1">MIN(TblPop[[#This Row],[Peasants]],TblPop[[#This Row],[Jobs]])</f>
        <v>1600</v>
      </c>
      <c r="I112" s="142">
        <f ca="1">MIN(OFFSET(TblPop[[#This Row],[Jobs]],1,0)/TblPop[[#This Row],[Peasants]],1)</f>
        <v>0.78508341511285573</v>
      </c>
      <c r="J112" s="143">
        <f ca="1">SUM(TblConstr[[#This Row],[Tot Alc]:[Tot GT]],TblConstr[[#This Row],[Tot Shr]:[Tot Doc]],TblConstr[[#This Row],[Dest Alc]:[Dest GT]],TblConstr[[#This Row],[Dest Shr]:[Dest Doc]])*building_employment</f>
        <v>1600</v>
      </c>
      <c r="K112" s="144"/>
      <c r="L112" s="62">
        <f ca="1">TblPop[[#This Row],[Draftees]]</f>
        <v>100</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61</v>
      </c>
      <c r="Y112" s="97">
        <f ca="1">(TblPop[[#This Row],[Peasants]]-TblPop[[#This Row],[Draft Growth]])*raw_pop_growth</f>
        <v>60.54</v>
      </c>
      <c r="Z112" s="97">
        <f ca="1">IF(TblPop[[#This Row],[Military%]]&lt;TblMili[[#This Row],[Draftrate]],ROUND(TblPop[[#This Row],[Peasants]]*Constants!$B$55,0), 0)</f>
        <v>20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44875.541666666402</v>
      </c>
      <c r="C113" s="97">
        <f ca="1">OFFSET(TblPop[[#This Row],[Peasants]],-1,0)+OFFSET(TblPop[[#This Row],[Net Peasant]],-1,0)+TblMili[[#This Row],[Release Draft]]</f>
        <v>2038</v>
      </c>
      <c r="D113" s="97">
        <f ca="1">TblMili[[#This Row],[Military]]</f>
        <v>300</v>
      </c>
      <c r="E113" s="97">
        <f ca="1">TblMili[[#This Row],[Draftees]]</f>
        <v>100</v>
      </c>
      <c r="F113" s="97">
        <f ca="1">TblPop[[#This Row],[Peasants]]+TblPop[[#This Row],[Military]]</f>
        <v>2338</v>
      </c>
      <c r="G113" s="142">
        <f ca="1">TblPop[[#This Row],[Military]]/TblPop[[#This Row],[Total]]</f>
        <v>0.12831479897348161</v>
      </c>
      <c r="H113" s="143">
        <f ca="1">MIN(TblPop[[#This Row],[Peasants]],TblPop[[#This Row],[Jobs]])</f>
        <v>1600</v>
      </c>
      <c r="I113" s="142">
        <f ca="1">MIN(OFFSET(TblPop[[#This Row],[Jobs]],1,0)/TblPop[[#This Row],[Peasants]],1)</f>
        <v>0.78508341511285573</v>
      </c>
      <c r="J113" s="143">
        <f ca="1">SUM(TblConstr[[#This Row],[Tot Alc]:[Tot GT]],TblConstr[[#This Row],[Tot Shr]:[Tot Doc]],TblConstr[[#This Row],[Dest Alc]:[Dest GT]],TblConstr[[#This Row],[Dest Shr]:[Dest Doc]])*building_employment</f>
        <v>1600</v>
      </c>
      <c r="K113" s="144"/>
      <c r="L113" s="62">
        <f ca="1">TblPop[[#This Row],[Draftees]]</f>
        <v>100</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61</v>
      </c>
      <c r="Y113" s="97">
        <f ca="1">(TblPop[[#This Row],[Peasants]]-TblPop[[#This Row],[Draft Growth]])*raw_pop_growth</f>
        <v>60.54</v>
      </c>
      <c r="Z113" s="97">
        <f ca="1">IF(TblPop[[#This Row],[Military%]]&lt;TblMili[[#This Row],[Draftrate]],ROUND(TblPop[[#This Row],[Peasants]]*Constants!$B$55,0), 0)</f>
        <v>20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44875.583333333067</v>
      </c>
      <c r="C114" s="97">
        <f ca="1">OFFSET(TblPop[[#This Row],[Peasants]],-1,0)+OFFSET(TblPop[[#This Row],[Net Peasant]],-1,0)+TblMili[[#This Row],[Release Draft]]</f>
        <v>2038</v>
      </c>
      <c r="D114" s="97">
        <f ca="1">TblMili[[#This Row],[Military]]</f>
        <v>300</v>
      </c>
      <c r="E114" s="97">
        <f ca="1">TblMili[[#This Row],[Draftees]]</f>
        <v>100</v>
      </c>
      <c r="F114" s="97">
        <f ca="1">TblPop[[#This Row],[Peasants]]+TblPop[[#This Row],[Military]]</f>
        <v>2338</v>
      </c>
      <c r="G114" s="142">
        <f ca="1">TblPop[[#This Row],[Military]]/TblPop[[#This Row],[Total]]</f>
        <v>0.12831479897348161</v>
      </c>
      <c r="H114" s="143">
        <f ca="1">MIN(TblPop[[#This Row],[Peasants]],TblPop[[#This Row],[Jobs]])</f>
        <v>1600</v>
      </c>
      <c r="I114" s="142">
        <f ca="1">MIN(OFFSET(TblPop[[#This Row],[Jobs]],1,0)/TblPop[[#This Row],[Peasants]],1)</f>
        <v>0.78508341511285573</v>
      </c>
      <c r="J114" s="143">
        <f ca="1">SUM(TblConstr[[#This Row],[Tot Alc]:[Tot GT]],TblConstr[[#This Row],[Tot Shr]:[Tot Doc]],TblConstr[[#This Row],[Dest Alc]:[Dest GT]],TblConstr[[#This Row],[Dest Shr]:[Dest Doc]])*building_employment</f>
        <v>1600</v>
      </c>
      <c r="K114" s="144"/>
      <c r="L114" s="62">
        <f ca="1">TblPop[[#This Row],[Draftees]]</f>
        <v>100</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61</v>
      </c>
      <c r="Y114" s="97">
        <f ca="1">(TblPop[[#This Row],[Peasants]]-TblPop[[#This Row],[Draft Growth]])*raw_pop_growth</f>
        <v>60.54</v>
      </c>
      <c r="Z114" s="97">
        <f ca="1">IF(TblPop[[#This Row],[Military%]]&lt;TblMili[[#This Row],[Draftrate]],ROUND(TblPop[[#This Row],[Peasants]]*Constants!$B$55,0), 0)</f>
        <v>20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44875.624999999731</v>
      </c>
      <c r="C115" s="97">
        <f ca="1">OFFSET(TblPop[[#This Row],[Peasants]],-1,0)+OFFSET(TblPop[[#This Row],[Net Peasant]],-1,0)+TblMili[[#This Row],[Release Draft]]</f>
        <v>2038</v>
      </c>
      <c r="D115" s="97">
        <f ca="1">TblMili[[#This Row],[Military]]</f>
        <v>300</v>
      </c>
      <c r="E115" s="97">
        <f ca="1">TblMili[[#This Row],[Draftees]]</f>
        <v>100</v>
      </c>
      <c r="F115" s="97">
        <f ca="1">TblPop[[#This Row],[Peasants]]+TblPop[[#This Row],[Military]]</f>
        <v>2338</v>
      </c>
      <c r="G115" s="142">
        <f ca="1">TblPop[[#This Row],[Military]]/TblPop[[#This Row],[Total]]</f>
        <v>0.12831479897348161</v>
      </c>
      <c r="H115" s="143">
        <f ca="1">MIN(TblPop[[#This Row],[Peasants]],TblPop[[#This Row],[Jobs]])</f>
        <v>1600</v>
      </c>
      <c r="I115" s="142">
        <f ca="1">MIN(OFFSET(TblPop[[#This Row],[Jobs]],1,0)/TblPop[[#This Row],[Peasants]],1)</f>
        <v>0.78508341511285573</v>
      </c>
      <c r="J115" s="143">
        <f ca="1">SUM(TblConstr[[#This Row],[Tot Alc]:[Tot GT]],TblConstr[[#This Row],[Tot Shr]:[Tot Doc]],TblConstr[[#This Row],[Dest Alc]:[Dest GT]],TblConstr[[#This Row],[Dest Shr]:[Dest Doc]])*building_employment</f>
        <v>1600</v>
      </c>
      <c r="K115" s="144"/>
      <c r="L115" s="62">
        <f ca="1">TblPop[[#This Row],[Draftees]]</f>
        <v>100</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61</v>
      </c>
      <c r="Y115" s="97">
        <f ca="1">(TblPop[[#This Row],[Peasants]]-TblPop[[#This Row],[Draft Growth]])*raw_pop_growth</f>
        <v>60.54</v>
      </c>
      <c r="Z115" s="97">
        <f ca="1">IF(TblPop[[#This Row],[Military%]]&lt;TblMili[[#This Row],[Draftrate]],ROUND(TblPop[[#This Row],[Peasants]]*Constants!$B$55,0), 0)</f>
        <v>20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44875.666666666395</v>
      </c>
      <c r="C116" s="97">
        <f ca="1">OFFSET(TblPop[[#This Row],[Peasants]],-1,0)+OFFSET(TblPop[[#This Row],[Net Peasant]],-1,0)+TblMili[[#This Row],[Release Draft]]</f>
        <v>2038</v>
      </c>
      <c r="D116" s="97">
        <f ca="1">TblMili[[#This Row],[Military]]</f>
        <v>300</v>
      </c>
      <c r="E116" s="97">
        <f ca="1">TblMili[[#This Row],[Draftees]]</f>
        <v>100</v>
      </c>
      <c r="F116" s="97">
        <f ca="1">TblPop[[#This Row],[Peasants]]+TblPop[[#This Row],[Military]]</f>
        <v>2338</v>
      </c>
      <c r="G116" s="142">
        <f ca="1">TblPop[[#This Row],[Military]]/TblPop[[#This Row],[Total]]</f>
        <v>0.12831479897348161</v>
      </c>
      <c r="H116" s="143">
        <f ca="1">MIN(TblPop[[#This Row],[Peasants]],TblPop[[#This Row],[Jobs]])</f>
        <v>1600</v>
      </c>
      <c r="I116" s="142">
        <f ca="1">MIN(OFFSET(TblPop[[#This Row],[Jobs]],1,0)/TblPop[[#This Row],[Peasants]],1)</f>
        <v>0.78508341511285573</v>
      </c>
      <c r="J116" s="143">
        <f ca="1">SUM(TblConstr[[#This Row],[Tot Alc]:[Tot GT]],TblConstr[[#This Row],[Tot Shr]:[Tot Doc]],TblConstr[[#This Row],[Dest Alc]:[Dest GT]],TblConstr[[#This Row],[Dest Shr]:[Dest Doc]])*building_employment</f>
        <v>1600</v>
      </c>
      <c r="K116" s="144"/>
      <c r="L116" s="62">
        <f ca="1">TblPop[[#This Row],[Draftees]]</f>
        <v>100</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61</v>
      </c>
      <c r="Y116" s="97">
        <f ca="1">(TblPop[[#This Row],[Peasants]]-TblPop[[#This Row],[Draft Growth]])*raw_pop_growth</f>
        <v>60.54</v>
      </c>
      <c r="Z116" s="97">
        <f ca="1">IF(TblPop[[#This Row],[Military%]]&lt;TblMili[[#This Row],[Draftrate]],ROUND(TblPop[[#This Row],[Peasants]]*Constants!$B$55,0), 0)</f>
        <v>20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44875.708333333059</v>
      </c>
      <c r="C117" s="97">
        <f ca="1">OFFSET(TblPop[[#This Row],[Peasants]],-1,0)+OFFSET(TblPop[[#This Row],[Net Peasant]],-1,0)+TblMili[[#This Row],[Release Draft]]</f>
        <v>2038</v>
      </c>
      <c r="D117" s="97">
        <f ca="1">TblMili[[#This Row],[Military]]</f>
        <v>300</v>
      </c>
      <c r="E117" s="97">
        <f ca="1">TblMili[[#This Row],[Draftees]]</f>
        <v>100</v>
      </c>
      <c r="F117" s="97">
        <f ca="1">TblPop[[#This Row],[Peasants]]+TblPop[[#This Row],[Military]]</f>
        <v>2338</v>
      </c>
      <c r="G117" s="142">
        <f ca="1">TblPop[[#This Row],[Military]]/TblPop[[#This Row],[Total]]</f>
        <v>0.12831479897348161</v>
      </c>
      <c r="H117" s="143">
        <f ca="1">MIN(TblPop[[#This Row],[Peasants]],TblPop[[#This Row],[Jobs]])</f>
        <v>1600</v>
      </c>
      <c r="I117" s="142">
        <f ca="1">MIN(OFFSET(TblPop[[#This Row],[Jobs]],1,0)/TblPop[[#This Row],[Peasants]],1)</f>
        <v>0.78508341511285573</v>
      </c>
      <c r="J117" s="143">
        <f ca="1">SUM(TblConstr[[#This Row],[Tot Alc]:[Tot GT]],TblConstr[[#This Row],[Tot Shr]:[Tot Doc]],TblConstr[[#This Row],[Dest Alc]:[Dest GT]],TblConstr[[#This Row],[Dest Shr]:[Dest Doc]])*building_employment</f>
        <v>1600</v>
      </c>
      <c r="K117" s="144"/>
      <c r="L117" s="62">
        <f ca="1">TblPop[[#This Row],[Draftees]]</f>
        <v>100</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61</v>
      </c>
      <c r="Y117" s="97">
        <f ca="1">(TblPop[[#This Row],[Peasants]]-TblPop[[#This Row],[Draft Growth]])*raw_pop_growth</f>
        <v>60.54</v>
      </c>
      <c r="Z117" s="97">
        <f ca="1">IF(TblPop[[#This Row],[Military%]]&lt;TblMili[[#This Row],[Draftrate]],ROUND(TblPop[[#This Row],[Peasants]]*Constants!$B$55,0), 0)</f>
        <v>20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44875.749999999724</v>
      </c>
      <c r="C118" s="97">
        <f ca="1">OFFSET(TblPop[[#This Row],[Peasants]],-1,0)+OFFSET(TblPop[[#This Row],[Net Peasant]],-1,0)+TblMili[[#This Row],[Release Draft]]</f>
        <v>2038</v>
      </c>
      <c r="D118" s="97">
        <f ca="1">TblMili[[#This Row],[Military]]</f>
        <v>300</v>
      </c>
      <c r="E118" s="97">
        <f ca="1">TblMili[[#This Row],[Draftees]]</f>
        <v>100</v>
      </c>
      <c r="F118" s="97">
        <f ca="1">TblPop[[#This Row],[Peasants]]+TblPop[[#This Row],[Military]]</f>
        <v>2338</v>
      </c>
      <c r="G118" s="142">
        <f ca="1">TblPop[[#This Row],[Military]]/TblPop[[#This Row],[Total]]</f>
        <v>0.12831479897348161</v>
      </c>
      <c r="H118" s="143">
        <f ca="1">MIN(TblPop[[#This Row],[Peasants]],TblPop[[#This Row],[Jobs]])</f>
        <v>1600</v>
      </c>
      <c r="I118" s="142">
        <f ca="1">MIN(OFFSET(TblPop[[#This Row],[Jobs]],1,0)/TblPop[[#This Row],[Peasants]],1)</f>
        <v>0.78508341511285573</v>
      </c>
      <c r="J118" s="143">
        <f ca="1">SUM(TblConstr[[#This Row],[Tot Alc]:[Tot GT]],TblConstr[[#This Row],[Tot Shr]:[Tot Doc]],TblConstr[[#This Row],[Dest Alc]:[Dest GT]],TblConstr[[#This Row],[Dest Shr]:[Dest Doc]])*building_employment</f>
        <v>1600</v>
      </c>
      <c r="K118" s="144"/>
      <c r="L118" s="62">
        <f ca="1">TblPop[[#This Row],[Draftees]]</f>
        <v>100</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61</v>
      </c>
      <c r="Y118" s="97">
        <f ca="1">(TblPop[[#This Row],[Peasants]]-TblPop[[#This Row],[Draft Growth]])*raw_pop_growth</f>
        <v>60.54</v>
      </c>
      <c r="Z118" s="97">
        <f ca="1">IF(TblPop[[#This Row],[Military%]]&lt;TblMili[[#This Row],[Draftrate]],ROUND(TblPop[[#This Row],[Peasants]]*Constants!$B$55,0), 0)</f>
        <v>20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44875.791666666388</v>
      </c>
      <c r="C119" s="97">
        <f ca="1">OFFSET(TblPop[[#This Row],[Peasants]],-1,0)+OFFSET(TblPop[[#This Row],[Net Peasant]],-1,0)+TblMili[[#This Row],[Release Draft]]</f>
        <v>2038</v>
      </c>
      <c r="D119" s="97">
        <f ca="1">TblMili[[#This Row],[Military]]</f>
        <v>300</v>
      </c>
      <c r="E119" s="97">
        <f ca="1">TblMili[[#This Row],[Draftees]]</f>
        <v>100</v>
      </c>
      <c r="F119" s="97">
        <f ca="1">TblPop[[#This Row],[Peasants]]+TblPop[[#This Row],[Military]]</f>
        <v>2338</v>
      </c>
      <c r="G119" s="142">
        <f ca="1">TblPop[[#This Row],[Military]]/TblPop[[#This Row],[Total]]</f>
        <v>0.12831479897348161</v>
      </c>
      <c r="H119" s="143">
        <f ca="1">MIN(TblPop[[#This Row],[Peasants]],TblPop[[#This Row],[Jobs]])</f>
        <v>1600</v>
      </c>
      <c r="I119" s="142">
        <f ca="1">MIN(OFFSET(TblPop[[#This Row],[Jobs]],1,0)/TblPop[[#This Row],[Peasants]],1)</f>
        <v>0.78508341511285573</v>
      </c>
      <c r="J119" s="143">
        <f ca="1">SUM(TblConstr[[#This Row],[Tot Alc]:[Tot GT]],TblConstr[[#This Row],[Tot Shr]:[Tot Doc]],TblConstr[[#This Row],[Dest Alc]:[Dest GT]],TblConstr[[#This Row],[Dest Shr]:[Dest Doc]])*building_employment</f>
        <v>1600</v>
      </c>
      <c r="K119" s="144"/>
      <c r="L119" s="62">
        <f ca="1">TblPop[[#This Row],[Draftees]]</f>
        <v>100</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61</v>
      </c>
      <c r="Y119" s="97">
        <f ca="1">(TblPop[[#This Row],[Peasants]]-TblPop[[#This Row],[Draft Growth]])*raw_pop_growth</f>
        <v>60.54</v>
      </c>
      <c r="Z119" s="97">
        <f ca="1">IF(TblPop[[#This Row],[Military%]]&lt;TblMili[[#This Row],[Draftrate]],ROUND(TblPop[[#This Row],[Peasants]]*Constants!$B$55,0), 0)</f>
        <v>20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44875.833333333052</v>
      </c>
      <c r="C120" s="97">
        <f ca="1">OFFSET(TblPop[[#This Row],[Peasants]],-1,0)+OFFSET(TblPop[[#This Row],[Net Peasant]],-1,0)+TblMili[[#This Row],[Release Draft]]</f>
        <v>2038</v>
      </c>
      <c r="D120" s="97">
        <f ca="1">TblMili[[#This Row],[Military]]</f>
        <v>300</v>
      </c>
      <c r="E120" s="97">
        <f ca="1">TblMili[[#This Row],[Draftees]]</f>
        <v>100</v>
      </c>
      <c r="F120" s="97">
        <f ca="1">TblPop[[#This Row],[Peasants]]+TblPop[[#This Row],[Military]]</f>
        <v>2338</v>
      </c>
      <c r="G120" s="142">
        <f ca="1">TblPop[[#This Row],[Military]]/TblPop[[#This Row],[Total]]</f>
        <v>0.12831479897348161</v>
      </c>
      <c r="H120" s="143">
        <f ca="1">MIN(TblPop[[#This Row],[Peasants]],TblPop[[#This Row],[Jobs]])</f>
        <v>1600</v>
      </c>
      <c r="I120" s="142">
        <f ca="1">MIN(OFFSET(TblPop[[#This Row],[Jobs]],1,0)/TblPop[[#This Row],[Peasants]],1)</f>
        <v>0.78508341511285573</v>
      </c>
      <c r="J120" s="143">
        <f ca="1">SUM(TblConstr[[#This Row],[Tot Alc]:[Tot GT]],TblConstr[[#This Row],[Tot Shr]:[Tot Doc]],TblConstr[[#This Row],[Dest Alc]:[Dest GT]],TblConstr[[#This Row],[Dest Shr]:[Dest Doc]])*building_employment</f>
        <v>1600</v>
      </c>
      <c r="K120" s="144"/>
      <c r="L120" s="62">
        <f ca="1">TblPop[[#This Row],[Draftees]]</f>
        <v>100</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61</v>
      </c>
      <c r="Y120" s="97">
        <f ca="1">(TblPop[[#This Row],[Peasants]]-TblPop[[#This Row],[Draft Growth]])*raw_pop_growth</f>
        <v>60.54</v>
      </c>
      <c r="Z120" s="97">
        <f ca="1">IF(TblPop[[#This Row],[Military%]]&lt;TblMili[[#This Row],[Draftrate]],ROUND(TblPop[[#This Row],[Peasants]]*Constants!$B$55,0), 0)</f>
        <v>20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44875.874999999716</v>
      </c>
      <c r="C121" s="97">
        <f ca="1">OFFSET(TblPop[[#This Row],[Peasants]],-1,0)+OFFSET(TblPop[[#This Row],[Net Peasant]],-1,0)+TblMili[[#This Row],[Release Draft]]</f>
        <v>2038</v>
      </c>
      <c r="D121" s="97">
        <f ca="1">TblMili[[#This Row],[Military]]</f>
        <v>300</v>
      </c>
      <c r="E121" s="97">
        <f ca="1">TblMili[[#This Row],[Draftees]]</f>
        <v>100</v>
      </c>
      <c r="F121" s="97">
        <f ca="1">TblPop[[#This Row],[Peasants]]+TblPop[[#This Row],[Military]]</f>
        <v>2338</v>
      </c>
      <c r="G121" s="142">
        <f ca="1">TblPop[[#This Row],[Military]]/TblPop[[#This Row],[Total]]</f>
        <v>0.12831479897348161</v>
      </c>
      <c r="H121" s="143">
        <f ca="1">MIN(TblPop[[#This Row],[Peasants]],TblPop[[#This Row],[Jobs]])</f>
        <v>1600</v>
      </c>
      <c r="I121" s="142">
        <f ca="1">MIN(OFFSET(TblPop[[#This Row],[Jobs]],1,0)/TblPop[[#This Row],[Peasants]],1)</f>
        <v>0.78508341511285573</v>
      </c>
      <c r="J121" s="143">
        <f ca="1">SUM(TblConstr[[#This Row],[Tot Alc]:[Tot GT]],TblConstr[[#This Row],[Tot Shr]:[Tot Doc]],TblConstr[[#This Row],[Dest Alc]:[Dest GT]],TblConstr[[#This Row],[Dest Shr]:[Dest Doc]])*building_employment</f>
        <v>1600</v>
      </c>
      <c r="K121" s="144"/>
      <c r="L121" s="62">
        <f ca="1">TblPop[[#This Row],[Draftees]]</f>
        <v>100</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61</v>
      </c>
      <c r="Y121" s="97">
        <f ca="1">(TblPop[[#This Row],[Peasants]]-TblPop[[#This Row],[Draft Growth]])*raw_pop_growth</f>
        <v>60.54</v>
      </c>
      <c r="Z121" s="97">
        <f ca="1">IF(TblPop[[#This Row],[Military%]]&lt;TblMili[[#This Row],[Draftrate]],ROUND(TblPop[[#This Row],[Peasants]]*Constants!$B$55,0), 0)</f>
        <v>20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44875.91666666638</v>
      </c>
      <c r="C122" s="97">
        <f ca="1">OFFSET(TblPop[[#This Row],[Peasants]],-1,0)+OFFSET(TblPop[[#This Row],[Net Peasant]],-1,0)+TblMili[[#This Row],[Release Draft]]</f>
        <v>2038</v>
      </c>
      <c r="D122" s="97">
        <f ca="1">TblMili[[#This Row],[Military]]</f>
        <v>300</v>
      </c>
      <c r="E122" s="97">
        <f ca="1">TblMili[[#This Row],[Draftees]]</f>
        <v>100</v>
      </c>
      <c r="F122" s="97">
        <f ca="1">TblPop[[#This Row],[Peasants]]+TblPop[[#This Row],[Military]]</f>
        <v>2338</v>
      </c>
      <c r="G122" s="142">
        <f ca="1">TblPop[[#This Row],[Military]]/TblPop[[#This Row],[Total]]</f>
        <v>0.12831479897348161</v>
      </c>
      <c r="H122" s="143">
        <f ca="1">MIN(TblPop[[#This Row],[Peasants]],TblPop[[#This Row],[Jobs]])</f>
        <v>1600</v>
      </c>
      <c r="I122" s="142">
        <f ca="1">MIN(OFFSET(TblPop[[#This Row],[Jobs]],1,0)/TblPop[[#This Row],[Peasants]],1)</f>
        <v>0.78508341511285573</v>
      </c>
      <c r="J122" s="143">
        <f ca="1">SUM(TblConstr[[#This Row],[Tot Alc]:[Tot GT]],TblConstr[[#This Row],[Tot Shr]:[Tot Doc]],TblConstr[[#This Row],[Dest Alc]:[Dest GT]],TblConstr[[#This Row],[Dest Shr]:[Dest Doc]])*building_employment</f>
        <v>1600</v>
      </c>
      <c r="K122" s="144"/>
      <c r="L122" s="62">
        <f ca="1">TblPop[[#This Row],[Draftees]]</f>
        <v>100</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61</v>
      </c>
      <c r="Y122" s="97">
        <f ca="1">(TblPop[[#This Row],[Peasants]]-TblPop[[#This Row],[Draft Growth]])*raw_pop_growth</f>
        <v>60.54</v>
      </c>
      <c r="Z122" s="97">
        <f ca="1">IF(TblPop[[#This Row],[Military%]]&lt;TblMili[[#This Row],[Draftrate]],ROUND(TblPop[[#This Row],[Peasants]]*Constants!$B$55,0), 0)</f>
        <v>20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44875.958333333045</v>
      </c>
      <c r="C123" s="97">
        <f ca="1">OFFSET(TblPop[[#This Row],[Peasants]],-1,0)+OFFSET(TblPop[[#This Row],[Net Peasant]],-1,0)+TblMili[[#This Row],[Release Draft]]</f>
        <v>2038</v>
      </c>
      <c r="D123" s="97">
        <f ca="1">TblMili[[#This Row],[Military]]</f>
        <v>300</v>
      </c>
      <c r="E123" s="97">
        <f ca="1">TblMili[[#This Row],[Draftees]]</f>
        <v>100</v>
      </c>
      <c r="F123" s="97">
        <f ca="1">TblPop[[#This Row],[Peasants]]+TblPop[[#This Row],[Military]]</f>
        <v>2338</v>
      </c>
      <c r="G123" s="142">
        <f ca="1">TblPop[[#This Row],[Military]]/TblPop[[#This Row],[Total]]</f>
        <v>0.12831479897348161</v>
      </c>
      <c r="H123" s="143">
        <f ca="1">MIN(TblPop[[#This Row],[Peasants]],TblPop[[#This Row],[Jobs]])</f>
        <v>1600</v>
      </c>
      <c r="I123" s="142">
        <f ca="1">MIN(OFFSET(TblPop[[#This Row],[Jobs]],1,0)/TblPop[[#This Row],[Peasants]],1)</f>
        <v>0.78508341511285573</v>
      </c>
      <c r="J123" s="143">
        <f ca="1">SUM(TblConstr[[#This Row],[Tot Alc]:[Tot GT]],TblConstr[[#This Row],[Tot Shr]:[Tot Doc]],TblConstr[[#This Row],[Dest Alc]:[Dest GT]],TblConstr[[#This Row],[Dest Shr]:[Dest Doc]])*building_employment</f>
        <v>1600</v>
      </c>
      <c r="K123" s="144"/>
      <c r="L123" s="62">
        <f ca="1">TblPop[[#This Row],[Draftees]]</f>
        <v>100</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61</v>
      </c>
      <c r="Y123" s="97">
        <f ca="1">(TblPop[[#This Row],[Peasants]]-TblPop[[#This Row],[Draft Growth]])*raw_pop_growth</f>
        <v>60.54</v>
      </c>
      <c r="Z123" s="97">
        <f ca="1">IF(TblPop[[#This Row],[Military%]]&lt;TblMili[[#This Row],[Draftrate]],ROUND(TblPop[[#This Row],[Peasants]]*Constants!$B$55,0), 0)</f>
        <v>20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44875.999999999709</v>
      </c>
      <c r="C124" s="97">
        <f ca="1">OFFSET(TblPop[[#This Row],[Peasants]],-1,0)+OFFSET(TblPop[[#This Row],[Net Peasant]],-1,0)+TblMili[[#This Row],[Release Draft]]</f>
        <v>2038</v>
      </c>
      <c r="D124" s="97">
        <f ca="1">TblMili[[#This Row],[Military]]</f>
        <v>300</v>
      </c>
      <c r="E124" s="97">
        <f ca="1">TblMili[[#This Row],[Draftees]]</f>
        <v>100</v>
      </c>
      <c r="F124" s="97">
        <f ca="1">TblPop[[#This Row],[Peasants]]+TblPop[[#This Row],[Military]]</f>
        <v>2338</v>
      </c>
      <c r="G124" s="142">
        <f ca="1">TblPop[[#This Row],[Military]]/TblPop[[#This Row],[Total]]</f>
        <v>0.12831479897348161</v>
      </c>
      <c r="H124" s="143">
        <f ca="1">MIN(TblPop[[#This Row],[Peasants]],TblPop[[#This Row],[Jobs]])</f>
        <v>1600</v>
      </c>
      <c r="I124" s="142">
        <f ca="1">MIN(OFFSET(TblPop[[#This Row],[Jobs]],1,0)/TblPop[[#This Row],[Peasants]],1)</f>
        <v>0.78508341511285573</v>
      </c>
      <c r="J124" s="143">
        <f ca="1">SUM(TblConstr[[#This Row],[Tot Alc]:[Tot GT]],TblConstr[[#This Row],[Tot Shr]:[Tot Doc]],TblConstr[[#This Row],[Dest Alc]:[Dest GT]],TblConstr[[#This Row],[Dest Shr]:[Dest Doc]])*building_employment</f>
        <v>1600</v>
      </c>
      <c r="K124" s="144"/>
      <c r="L124" s="62">
        <f ca="1">TblPop[[#This Row],[Draftees]]</f>
        <v>100</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61</v>
      </c>
      <c r="Y124" s="97">
        <f ca="1">(TblPop[[#This Row],[Peasants]]-TblPop[[#This Row],[Draft Growth]])*raw_pop_growth</f>
        <v>60.54</v>
      </c>
      <c r="Z124" s="97">
        <f ca="1">IF(TblPop[[#This Row],[Military%]]&lt;TblMili[[#This Row],[Draftrate]],ROUND(TblPop[[#This Row],[Peasants]]*Constants!$B$55,0), 0)</f>
        <v>20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44876.041666666373</v>
      </c>
      <c r="C125" s="97">
        <f ca="1">OFFSET(TblPop[[#This Row],[Peasants]],-1,0)+OFFSET(TblPop[[#This Row],[Net Peasant]],-1,0)+TblMili[[#This Row],[Release Draft]]</f>
        <v>2038</v>
      </c>
      <c r="D125" s="97">
        <f ca="1">TblMili[[#This Row],[Military]]</f>
        <v>300</v>
      </c>
      <c r="E125" s="97">
        <f ca="1">TblMili[[#This Row],[Draftees]]</f>
        <v>100</v>
      </c>
      <c r="F125" s="97">
        <f ca="1">TblPop[[#This Row],[Peasants]]+TblPop[[#This Row],[Military]]</f>
        <v>2338</v>
      </c>
      <c r="G125" s="142">
        <f ca="1">TblPop[[#This Row],[Military]]/TblPop[[#This Row],[Total]]</f>
        <v>0.12831479897348161</v>
      </c>
      <c r="H125" s="143">
        <f ca="1">MIN(TblPop[[#This Row],[Peasants]],TblPop[[#This Row],[Jobs]])</f>
        <v>1600</v>
      </c>
      <c r="I125" s="142">
        <f ca="1">MIN(OFFSET(TblPop[[#This Row],[Jobs]],1,0)/TblPop[[#This Row],[Peasants]],1)</f>
        <v>0.78508341511285573</v>
      </c>
      <c r="J125" s="143">
        <f ca="1">SUM(TblConstr[[#This Row],[Tot Alc]:[Tot GT]],TblConstr[[#This Row],[Tot Shr]:[Tot Doc]],TblConstr[[#This Row],[Dest Alc]:[Dest GT]],TblConstr[[#This Row],[Dest Shr]:[Dest Doc]])*building_employment</f>
        <v>1600</v>
      </c>
      <c r="K125" s="144"/>
      <c r="L125" s="62">
        <f ca="1">TblPop[[#This Row],[Draftees]]</f>
        <v>100</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61</v>
      </c>
      <c r="Y125" s="97">
        <f ca="1">(TblPop[[#This Row],[Peasants]]-TblPop[[#This Row],[Draft Growth]])*raw_pop_growth</f>
        <v>60.54</v>
      </c>
      <c r="Z125" s="97">
        <f ca="1">IF(TblPop[[#This Row],[Military%]]&lt;TblMili[[#This Row],[Draftrate]],ROUND(TblPop[[#This Row],[Peasants]]*Constants!$B$55,0), 0)</f>
        <v>20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44876.083333333037</v>
      </c>
      <c r="C126" s="97">
        <f ca="1">OFFSET(TblPop[[#This Row],[Peasants]],-1,0)+OFFSET(TblPop[[#This Row],[Net Peasant]],-1,0)+TblMili[[#This Row],[Release Draft]]</f>
        <v>2038</v>
      </c>
      <c r="D126" s="97">
        <f ca="1">TblMili[[#This Row],[Military]]</f>
        <v>300</v>
      </c>
      <c r="E126" s="97">
        <f ca="1">TblMili[[#This Row],[Draftees]]</f>
        <v>100</v>
      </c>
      <c r="F126" s="97">
        <f ca="1">TblPop[[#This Row],[Peasants]]+TblPop[[#This Row],[Military]]</f>
        <v>2338</v>
      </c>
      <c r="G126" s="142">
        <f ca="1">TblPop[[#This Row],[Military]]/TblPop[[#This Row],[Total]]</f>
        <v>0.12831479897348161</v>
      </c>
      <c r="H126" s="143">
        <f ca="1">MIN(TblPop[[#This Row],[Peasants]],TblPop[[#This Row],[Jobs]])</f>
        <v>1600</v>
      </c>
      <c r="I126" s="142">
        <f ca="1">MIN(OFFSET(TblPop[[#This Row],[Jobs]],1,0)/TblPop[[#This Row],[Peasants]],1)</f>
        <v>0.78508341511285573</v>
      </c>
      <c r="J126" s="143">
        <f ca="1">SUM(TblConstr[[#This Row],[Tot Alc]:[Tot GT]],TblConstr[[#This Row],[Tot Shr]:[Tot Doc]],TblConstr[[#This Row],[Dest Alc]:[Dest GT]],TblConstr[[#This Row],[Dest Shr]:[Dest Doc]])*building_employment</f>
        <v>1600</v>
      </c>
      <c r="K126" s="144"/>
      <c r="L126" s="62">
        <f ca="1">TblPop[[#This Row],[Draftees]]</f>
        <v>100</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61</v>
      </c>
      <c r="Y126" s="97">
        <f ca="1">(TblPop[[#This Row],[Peasants]]-TblPop[[#This Row],[Draft Growth]])*raw_pop_growth</f>
        <v>60.54</v>
      </c>
      <c r="Z126" s="97">
        <f ca="1">IF(TblPop[[#This Row],[Military%]]&lt;TblMili[[#This Row],[Draftrate]],ROUND(TblPop[[#This Row],[Peasants]]*Constants!$B$55,0), 0)</f>
        <v>20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44876.124999999702</v>
      </c>
      <c r="C127" s="97">
        <f ca="1">OFFSET(TblPop[[#This Row],[Peasants]],-1,0)+OFFSET(TblPop[[#This Row],[Net Peasant]],-1,0)+TblMili[[#This Row],[Release Draft]]</f>
        <v>2038</v>
      </c>
      <c r="D127" s="97">
        <f ca="1">TblMili[[#This Row],[Military]]</f>
        <v>300</v>
      </c>
      <c r="E127" s="97">
        <f ca="1">TblMili[[#This Row],[Draftees]]</f>
        <v>100</v>
      </c>
      <c r="F127" s="97">
        <f ca="1">TblPop[[#This Row],[Peasants]]+TblPop[[#This Row],[Military]]</f>
        <v>2338</v>
      </c>
      <c r="G127" s="142">
        <f ca="1">TblPop[[#This Row],[Military]]/TblPop[[#This Row],[Total]]</f>
        <v>0.12831479897348161</v>
      </c>
      <c r="H127" s="143">
        <f ca="1">MIN(TblPop[[#This Row],[Peasants]],TblPop[[#This Row],[Jobs]])</f>
        <v>1600</v>
      </c>
      <c r="I127" s="142">
        <f ca="1">MIN(OFFSET(TblPop[[#This Row],[Jobs]],1,0)/TblPop[[#This Row],[Peasants]],1)</f>
        <v>0.78508341511285573</v>
      </c>
      <c r="J127" s="143">
        <f ca="1">SUM(TblConstr[[#This Row],[Tot Alc]:[Tot GT]],TblConstr[[#This Row],[Tot Shr]:[Tot Doc]],TblConstr[[#This Row],[Dest Alc]:[Dest GT]],TblConstr[[#This Row],[Dest Shr]:[Dest Doc]])*building_employment</f>
        <v>1600</v>
      </c>
      <c r="K127" s="144"/>
      <c r="L127" s="62">
        <f ca="1">TblPop[[#This Row],[Draftees]]</f>
        <v>100</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61</v>
      </c>
      <c r="Y127" s="97">
        <f ca="1">(TblPop[[#This Row],[Peasants]]-TblPop[[#This Row],[Draft Growth]])*raw_pop_growth</f>
        <v>60.54</v>
      </c>
      <c r="Z127" s="97">
        <f ca="1">IF(TblPop[[#This Row],[Military%]]&lt;TblMili[[#This Row],[Draftrate]],ROUND(TblPop[[#This Row],[Peasants]]*Constants!$B$55,0), 0)</f>
        <v>20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44876.166666666366</v>
      </c>
      <c r="C128" s="97">
        <f ca="1">OFFSET(TblPop[[#This Row],[Peasants]],-1,0)+OFFSET(TblPop[[#This Row],[Net Peasant]],-1,0)+TblMili[[#This Row],[Release Draft]]</f>
        <v>2038</v>
      </c>
      <c r="D128" s="97">
        <f ca="1">TblMili[[#This Row],[Military]]</f>
        <v>300</v>
      </c>
      <c r="E128" s="97">
        <f ca="1">TblMili[[#This Row],[Draftees]]</f>
        <v>100</v>
      </c>
      <c r="F128" s="97">
        <f ca="1">TblPop[[#This Row],[Peasants]]+TblPop[[#This Row],[Military]]</f>
        <v>2338</v>
      </c>
      <c r="G128" s="142">
        <f ca="1">TblPop[[#This Row],[Military]]/TblPop[[#This Row],[Total]]</f>
        <v>0.12831479897348161</v>
      </c>
      <c r="H128" s="143">
        <f ca="1">MIN(TblPop[[#This Row],[Peasants]],TblPop[[#This Row],[Jobs]])</f>
        <v>1600</v>
      </c>
      <c r="I128" s="142">
        <f ca="1">MIN(OFFSET(TblPop[[#This Row],[Jobs]],1,0)/TblPop[[#This Row],[Peasants]],1)</f>
        <v>0.78508341511285573</v>
      </c>
      <c r="J128" s="143">
        <f ca="1">SUM(TblConstr[[#This Row],[Tot Alc]:[Tot GT]],TblConstr[[#This Row],[Tot Shr]:[Tot Doc]],TblConstr[[#This Row],[Dest Alc]:[Dest GT]],TblConstr[[#This Row],[Dest Shr]:[Dest Doc]])*building_employment</f>
        <v>1600</v>
      </c>
      <c r="K128" s="144"/>
      <c r="L128" s="62">
        <f ca="1">TblPop[[#This Row],[Draftees]]</f>
        <v>100</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61</v>
      </c>
      <c r="Y128" s="97">
        <f ca="1">(TblPop[[#This Row],[Peasants]]-TblPop[[#This Row],[Draft Growth]])*raw_pop_growth</f>
        <v>60.54</v>
      </c>
      <c r="Z128" s="97">
        <f ca="1">IF(TblPop[[#This Row],[Military%]]&lt;TblMili[[#This Row],[Draftrate]],ROUND(TblPop[[#This Row],[Peasants]]*Constants!$B$55,0), 0)</f>
        <v>20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44876.20833333303</v>
      </c>
      <c r="C129" s="97">
        <f ca="1">OFFSET(TblPop[[#This Row],[Peasants]],-1,0)+OFFSET(TblPop[[#This Row],[Net Peasant]],-1,0)+TblMili[[#This Row],[Release Draft]]</f>
        <v>2038</v>
      </c>
      <c r="D129" s="97">
        <f ca="1">TblMili[[#This Row],[Military]]</f>
        <v>300</v>
      </c>
      <c r="E129" s="97">
        <f ca="1">TblMili[[#This Row],[Draftees]]</f>
        <v>100</v>
      </c>
      <c r="F129" s="97">
        <f ca="1">TblPop[[#This Row],[Peasants]]+TblPop[[#This Row],[Military]]</f>
        <v>2338</v>
      </c>
      <c r="G129" s="142">
        <f ca="1">TblPop[[#This Row],[Military]]/TblPop[[#This Row],[Total]]</f>
        <v>0.12831479897348161</v>
      </c>
      <c r="H129" s="143">
        <f ca="1">MIN(TblPop[[#This Row],[Peasants]],TblPop[[#This Row],[Jobs]])</f>
        <v>1600</v>
      </c>
      <c r="I129" s="142">
        <f ca="1">MIN(OFFSET(TblPop[[#This Row],[Jobs]],1,0)/TblPop[[#This Row],[Peasants]],1)</f>
        <v>0.78508341511285573</v>
      </c>
      <c r="J129" s="143">
        <f ca="1">SUM(TblConstr[[#This Row],[Tot Alc]:[Tot GT]],TblConstr[[#This Row],[Tot Shr]:[Tot Doc]],TblConstr[[#This Row],[Dest Alc]:[Dest GT]],TblConstr[[#This Row],[Dest Shr]:[Dest Doc]])*building_employment</f>
        <v>1600</v>
      </c>
      <c r="K129" s="144"/>
      <c r="L129" s="62">
        <f ca="1">TblPop[[#This Row],[Draftees]]</f>
        <v>100</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61</v>
      </c>
      <c r="Y129" s="97">
        <f ca="1">(TblPop[[#This Row],[Peasants]]-TblPop[[#This Row],[Draft Growth]])*raw_pop_growth</f>
        <v>60.54</v>
      </c>
      <c r="Z129" s="97">
        <f ca="1">IF(TblPop[[#This Row],[Military%]]&lt;TblMili[[#This Row],[Draftrate]],ROUND(TblPop[[#This Row],[Peasants]]*Constants!$B$55,0), 0)</f>
        <v>20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44876.249999999694</v>
      </c>
      <c r="C130" s="97">
        <f ca="1">OFFSET(TblPop[[#This Row],[Peasants]],-1,0)+OFFSET(TblPop[[#This Row],[Net Peasant]],-1,0)+TblMili[[#This Row],[Release Draft]]</f>
        <v>2038</v>
      </c>
      <c r="D130" s="97">
        <f ca="1">TblMili[[#This Row],[Military]]</f>
        <v>300</v>
      </c>
      <c r="E130" s="97">
        <f ca="1">TblMili[[#This Row],[Draftees]]</f>
        <v>100</v>
      </c>
      <c r="F130" s="97">
        <f ca="1">TblPop[[#This Row],[Peasants]]+TblPop[[#This Row],[Military]]</f>
        <v>2338</v>
      </c>
      <c r="G130" s="142">
        <f ca="1">TblPop[[#This Row],[Military]]/TblPop[[#This Row],[Total]]</f>
        <v>0.12831479897348161</v>
      </c>
      <c r="H130" s="143">
        <f ca="1">MIN(TblPop[[#This Row],[Peasants]],TblPop[[#This Row],[Jobs]])</f>
        <v>1600</v>
      </c>
      <c r="I130" s="142">
        <f ca="1">MIN(OFFSET(TblPop[[#This Row],[Jobs]],1,0)/TblPop[[#This Row],[Peasants]],1)</f>
        <v>0.78508341511285573</v>
      </c>
      <c r="J130" s="143">
        <f ca="1">SUM(TblConstr[[#This Row],[Tot Alc]:[Tot GT]],TblConstr[[#This Row],[Tot Shr]:[Tot Doc]],TblConstr[[#This Row],[Dest Alc]:[Dest GT]],TblConstr[[#This Row],[Dest Shr]:[Dest Doc]])*building_employment</f>
        <v>1600</v>
      </c>
      <c r="K130" s="144"/>
      <c r="L130" s="62">
        <f ca="1">TblPop[[#This Row],[Draftees]]</f>
        <v>100</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61</v>
      </c>
      <c r="Y130" s="97">
        <f ca="1">(TblPop[[#This Row],[Peasants]]-TblPop[[#This Row],[Draft Growth]])*raw_pop_growth</f>
        <v>60.54</v>
      </c>
      <c r="Z130" s="97">
        <f ca="1">IF(TblPop[[#This Row],[Military%]]&lt;TblMili[[#This Row],[Draftrate]],ROUND(TblPop[[#This Row],[Peasants]]*Constants!$B$55,0), 0)</f>
        <v>20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44876.291666666359</v>
      </c>
      <c r="C131" s="97">
        <f ca="1">OFFSET(TblPop[[#This Row],[Peasants]],-1,0)+OFFSET(TblPop[[#This Row],[Net Peasant]],-1,0)+TblMili[[#This Row],[Release Draft]]</f>
        <v>2038</v>
      </c>
      <c r="D131" s="97">
        <f ca="1">TblMili[[#This Row],[Military]]</f>
        <v>300</v>
      </c>
      <c r="E131" s="97">
        <f ca="1">TblMili[[#This Row],[Draftees]]</f>
        <v>100</v>
      </c>
      <c r="F131" s="97">
        <f ca="1">TblPop[[#This Row],[Peasants]]+TblPop[[#This Row],[Military]]</f>
        <v>2338</v>
      </c>
      <c r="G131" s="142">
        <f ca="1">TblPop[[#This Row],[Military]]/TblPop[[#This Row],[Total]]</f>
        <v>0.12831479897348161</v>
      </c>
      <c r="H131" s="143">
        <f ca="1">MIN(TblPop[[#This Row],[Peasants]],TblPop[[#This Row],[Jobs]])</f>
        <v>1600</v>
      </c>
      <c r="I131" s="142">
        <f ca="1">MIN(OFFSET(TblPop[[#This Row],[Jobs]],1,0)/TblPop[[#This Row],[Peasants]],1)</f>
        <v>0.78508341511285573</v>
      </c>
      <c r="J131" s="143">
        <f ca="1">SUM(TblConstr[[#This Row],[Tot Alc]:[Tot GT]],TblConstr[[#This Row],[Tot Shr]:[Tot Doc]],TblConstr[[#This Row],[Dest Alc]:[Dest GT]],TblConstr[[#This Row],[Dest Shr]:[Dest Doc]])*building_employment</f>
        <v>1600</v>
      </c>
      <c r="K131" s="144"/>
      <c r="L131" s="62">
        <f ca="1">TblPop[[#This Row],[Draftees]]</f>
        <v>100</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61</v>
      </c>
      <c r="Y131" s="97">
        <f ca="1">(TblPop[[#This Row],[Peasants]]-TblPop[[#This Row],[Draft Growth]])*raw_pop_growth</f>
        <v>60.54</v>
      </c>
      <c r="Z131" s="97">
        <f ca="1">IF(TblPop[[#This Row],[Military%]]&lt;TblMili[[#This Row],[Draftrate]],ROUND(TblPop[[#This Row],[Peasants]]*Constants!$B$55,0), 0)</f>
        <v>20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44876.333333333023</v>
      </c>
      <c r="C132" s="97">
        <f ca="1">OFFSET(TblPop[[#This Row],[Peasants]],-1,0)+OFFSET(TblPop[[#This Row],[Net Peasant]],-1,0)+TblMili[[#This Row],[Release Draft]]</f>
        <v>2038</v>
      </c>
      <c r="D132" s="97">
        <f ca="1">TblMili[[#This Row],[Military]]</f>
        <v>300</v>
      </c>
      <c r="E132" s="97">
        <f ca="1">TblMili[[#This Row],[Draftees]]</f>
        <v>100</v>
      </c>
      <c r="F132" s="97">
        <f ca="1">TblPop[[#This Row],[Peasants]]+TblPop[[#This Row],[Military]]</f>
        <v>2338</v>
      </c>
      <c r="G132" s="142">
        <f ca="1">TblPop[[#This Row],[Military]]/TblPop[[#This Row],[Total]]</f>
        <v>0.12831479897348161</v>
      </c>
      <c r="H132" s="143">
        <f ca="1">MIN(TblPop[[#This Row],[Peasants]],TblPop[[#This Row],[Jobs]])</f>
        <v>1600</v>
      </c>
      <c r="I132" s="142">
        <f ca="1">MIN(OFFSET(TblPop[[#This Row],[Jobs]],1,0)/TblPop[[#This Row],[Peasants]],1)</f>
        <v>0.78508341511285573</v>
      </c>
      <c r="J132" s="143">
        <f ca="1">SUM(TblConstr[[#This Row],[Tot Alc]:[Tot GT]],TblConstr[[#This Row],[Tot Shr]:[Tot Doc]],TblConstr[[#This Row],[Dest Alc]:[Dest GT]],TblConstr[[#This Row],[Dest Shr]:[Dest Doc]])*building_employment</f>
        <v>1600</v>
      </c>
      <c r="K132" s="144"/>
      <c r="L132" s="62">
        <f ca="1">TblPop[[#This Row],[Draftees]]</f>
        <v>100</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61</v>
      </c>
      <c r="Y132" s="97">
        <f ca="1">(TblPop[[#This Row],[Peasants]]-TblPop[[#This Row],[Draft Growth]])*raw_pop_growth</f>
        <v>60.54</v>
      </c>
      <c r="Z132" s="97">
        <f ca="1">IF(TblPop[[#This Row],[Military%]]&lt;TblMili[[#This Row],[Draftrate]],ROUND(TblPop[[#This Row],[Peasants]]*Constants!$B$55,0), 0)</f>
        <v>20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44876.374999999687</v>
      </c>
      <c r="C133" s="97">
        <f ca="1">OFFSET(TblPop[[#This Row],[Peasants]],-1,0)+OFFSET(TblPop[[#This Row],[Net Peasant]],-1,0)+TblMili[[#This Row],[Release Draft]]</f>
        <v>2038</v>
      </c>
      <c r="D133" s="97">
        <f ca="1">TblMili[[#This Row],[Military]]</f>
        <v>300</v>
      </c>
      <c r="E133" s="97">
        <f ca="1">TblMili[[#This Row],[Draftees]]</f>
        <v>100</v>
      </c>
      <c r="F133" s="97">
        <f ca="1">TblPop[[#This Row],[Peasants]]+TblPop[[#This Row],[Military]]</f>
        <v>2338</v>
      </c>
      <c r="G133" s="142">
        <f ca="1">TblPop[[#This Row],[Military]]/TblPop[[#This Row],[Total]]</f>
        <v>0.12831479897348161</v>
      </c>
      <c r="H133" s="143">
        <f ca="1">MIN(TblPop[[#This Row],[Peasants]],TblPop[[#This Row],[Jobs]])</f>
        <v>1600</v>
      </c>
      <c r="I133" s="142">
        <f ca="1">MIN(OFFSET(TblPop[[#This Row],[Jobs]],1,0)/TblPop[[#This Row],[Peasants]],1)</f>
        <v>0.78508341511285573</v>
      </c>
      <c r="J133" s="143">
        <f ca="1">SUM(TblConstr[[#This Row],[Tot Alc]:[Tot GT]],TblConstr[[#This Row],[Tot Shr]:[Tot Doc]],TblConstr[[#This Row],[Dest Alc]:[Dest GT]],TblConstr[[#This Row],[Dest Shr]:[Dest Doc]])*building_employment</f>
        <v>1600</v>
      </c>
      <c r="K133" s="144"/>
      <c r="L133" s="62">
        <f ca="1">TblPop[[#This Row],[Draftees]]</f>
        <v>100</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61</v>
      </c>
      <c r="Y133" s="97">
        <f ca="1">(TblPop[[#This Row],[Peasants]]-TblPop[[#This Row],[Draft Growth]])*raw_pop_growth</f>
        <v>60.54</v>
      </c>
      <c r="Z133" s="97">
        <f ca="1">IF(TblPop[[#This Row],[Military%]]&lt;TblMili[[#This Row],[Draftrate]],ROUND(TblPop[[#This Row],[Peasants]]*Constants!$B$55,0), 0)</f>
        <v>20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44876.416666666351</v>
      </c>
      <c r="C134" s="97">
        <f ca="1">OFFSET(TblPop[[#This Row],[Peasants]],-1,0)+OFFSET(TblPop[[#This Row],[Net Peasant]],-1,0)+TblMili[[#This Row],[Release Draft]]</f>
        <v>2038</v>
      </c>
      <c r="D134" s="97">
        <f ca="1">TblMili[[#This Row],[Military]]</f>
        <v>300</v>
      </c>
      <c r="E134" s="97">
        <f ca="1">TblMili[[#This Row],[Draftees]]</f>
        <v>100</v>
      </c>
      <c r="F134" s="97">
        <f ca="1">TblPop[[#This Row],[Peasants]]+TblPop[[#This Row],[Military]]</f>
        <v>2338</v>
      </c>
      <c r="G134" s="142">
        <f ca="1">TblPop[[#This Row],[Military]]/TblPop[[#This Row],[Total]]</f>
        <v>0.12831479897348161</v>
      </c>
      <c r="H134" s="143">
        <f ca="1">MIN(TblPop[[#This Row],[Peasants]],TblPop[[#This Row],[Jobs]])</f>
        <v>1600</v>
      </c>
      <c r="I134" s="142">
        <f ca="1">MIN(OFFSET(TblPop[[#This Row],[Jobs]],1,0)/TblPop[[#This Row],[Peasants]],1)</f>
        <v>0.78508341511285573</v>
      </c>
      <c r="J134" s="143">
        <f ca="1">SUM(TblConstr[[#This Row],[Tot Alc]:[Tot GT]],TblConstr[[#This Row],[Tot Shr]:[Tot Doc]],TblConstr[[#This Row],[Dest Alc]:[Dest GT]],TblConstr[[#This Row],[Dest Shr]:[Dest Doc]])*building_employment</f>
        <v>1600</v>
      </c>
      <c r="K134" s="144"/>
      <c r="L134" s="62">
        <f ca="1">TblPop[[#This Row],[Draftees]]</f>
        <v>100</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61</v>
      </c>
      <c r="Y134" s="97">
        <f ca="1">(TblPop[[#This Row],[Peasants]]-TblPop[[#This Row],[Draft Growth]])*raw_pop_growth</f>
        <v>60.54</v>
      </c>
      <c r="Z134" s="97">
        <f ca="1">IF(TblPop[[#This Row],[Military%]]&lt;TblMili[[#This Row],[Draftrate]],ROUND(TblPop[[#This Row],[Peasants]]*Constants!$B$55,0), 0)</f>
        <v>20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44876.458333333016</v>
      </c>
      <c r="C135" s="97">
        <f ca="1">OFFSET(TblPop[[#This Row],[Peasants]],-1,0)+OFFSET(TblPop[[#This Row],[Net Peasant]],-1,0)+TblMili[[#This Row],[Release Draft]]</f>
        <v>2038</v>
      </c>
      <c r="D135" s="97">
        <f ca="1">TblMili[[#This Row],[Military]]</f>
        <v>300</v>
      </c>
      <c r="E135" s="97">
        <f ca="1">TblMili[[#This Row],[Draftees]]</f>
        <v>100</v>
      </c>
      <c r="F135" s="97">
        <f ca="1">TblPop[[#This Row],[Peasants]]+TblPop[[#This Row],[Military]]</f>
        <v>2338</v>
      </c>
      <c r="G135" s="142">
        <f ca="1">TblPop[[#This Row],[Military]]/TblPop[[#This Row],[Total]]</f>
        <v>0.12831479897348161</v>
      </c>
      <c r="H135" s="143">
        <f ca="1">MIN(TblPop[[#This Row],[Peasants]],TblPop[[#This Row],[Jobs]])</f>
        <v>1600</v>
      </c>
      <c r="I135" s="142">
        <f ca="1">MIN(OFFSET(TblPop[[#This Row],[Jobs]],1,0)/TblPop[[#This Row],[Peasants]],1)</f>
        <v>0.78508341511285573</v>
      </c>
      <c r="J135" s="143">
        <f ca="1">SUM(TblConstr[[#This Row],[Tot Alc]:[Tot GT]],TblConstr[[#This Row],[Tot Shr]:[Tot Doc]],TblConstr[[#This Row],[Dest Alc]:[Dest GT]],TblConstr[[#This Row],[Dest Shr]:[Dest Doc]])*building_employment</f>
        <v>1600</v>
      </c>
      <c r="K135" s="144"/>
      <c r="L135" s="62">
        <f ca="1">TblPop[[#This Row],[Draftees]]</f>
        <v>100</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61</v>
      </c>
      <c r="Y135" s="97">
        <f ca="1">(TblPop[[#This Row],[Peasants]]-TblPop[[#This Row],[Draft Growth]])*raw_pop_growth</f>
        <v>60.54</v>
      </c>
      <c r="Z135" s="97">
        <f ca="1">IF(TblPop[[#This Row],[Military%]]&lt;TblMili[[#This Row],[Draftrate]],ROUND(TblPop[[#This Row],[Peasants]]*Constants!$B$55,0), 0)</f>
        <v>20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44876.49999999968</v>
      </c>
      <c r="C136" s="97">
        <f ca="1">OFFSET(TblPop[[#This Row],[Peasants]],-1,0)+OFFSET(TblPop[[#This Row],[Net Peasant]],-1,0)+TblMili[[#This Row],[Release Draft]]</f>
        <v>2038</v>
      </c>
      <c r="D136" s="97">
        <f ca="1">TblMili[[#This Row],[Military]]</f>
        <v>300</v>
      </c>
      <c r="E136" s="97">
        <f ca="1">TblMili[[#This Row],[Draftees]]</f>
        <v>100</v>
      </c>
      <c r="F136" s="97">
        <f ca="1">TblPop[[#This Row],[Peasants]]+TblPop[[#This Row],[Military]]</f>
        <v>2338</v>
      </c>
      <c r="G136" s="142">
        <f ca="1">TblPop[[#This Row],[Military]]/TblPop[[#This Row],[Total]]</f>
        <v>0.12831479897348161</v>
      </c>
      <c r="H136" s="143">
        <f ca="1">MIN(TblPop[[#This Row],[Peasants]],TblPop[[#This Row],[Jobs]])</f>
        <v>1600</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100</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60.54</v>
      </c>
      <c r="Z136" s="97">
        <f ca="1">IF(TblPop[[#This Row],[Military%]]&lt;TblMili[[#This Row],[Draftrate]],ROUND(TblPop[[#This Row],[Peasants]]*Constants!$B$55,0), 0)</f>
        <v>20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0" t="s">
        <v>321</v>
      </c>
      <c r="D1269" s="447"/>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71" priority="1" stopIfTrue="1">
      <formula>OR(C4&lt;0,ROW()-3=$C$1270)</formula>
    </cfRule>
  </conditionalFormatting>
  <conditionalFormatting sqref="A1269:XFD1270">
    <cfRule type="expression" dxfId="70" priority="106" stopIfTrue="1">
      <formula>$C$1270&gt;144</formula>
    </cfRule>
  </conditionalFormatting>
  <conditionalFormatting sqref="A4:AC136">
    <cfRule type="expression" dxfId="69" priority="12" stopIfTrue="1">
      <formula>ROW()-3=$C$1270</formula>
    </cfRule>
    <cfRule type="expression" dxfId="68" priority="112">
      <formula>$A4=73</formula>
    </cfRule>
    <cfRule type="expression" dxfId="67" priority="113">
      <formula>ROUND(($A4-1)/12,0)=INT($A4-1)/12</formula>
    </cfRule>
  </conditionalFormatting>
  <conditionalFormatting sqref="A1:XFD3">
    <cfRule type="expression" dxfId="66"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S1"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3" t="s">
        <v>253</v>
      </c>
      <c r="T1" s="493"/>
      <c r="U1" s="493"/>
      <c r="AA1" s="493" t="s">
        <v>85</v>
      </c>
      <c r="AB1" s="493"/>
      <c r="AH1" s="493" t="s">
        <v>170</v>
      </c>
      <c r="AI1" s="493"/>
      <c r="AJ1" s="493"/>
      <c r="AK1" s="493"/>
      <c r="AL1" s="493"/>
      <c r="AM1" s="493"/>
      <c r="AO1" s="5" t="s">
        <v>19</v>
      </c>
      <c r="AT1" s="493" t="s">
        <v>190</v>
      </c>
      <c r="AU1" s="493"/>
      <c r="BC1" s="5" t="s">
        <v>427</v>
      </c>
      <c r="BI1" s="5" t="s">
        <v>17</v>
      </c>
    </row>
    <row r="2" spans="1:65" s="5" customFormat="1" x14ac:dyDescent="0.2">
      <c r="A2" s="28"/>
    </row>
    <row r="3" spans="1:65" s="154" customFormat="1" ht="25.5" x14ac:dyDescent="0.2">
      <c r="A3" s="138" t="s">
        <v>0</v>
      </c>
      <c r="B3" s="138" t="s">
        <v>316</v>
      </c>
      <c r="C3" s="138" t="s">
        <v>327</v>
      </c>
      <c r="D3" s="138" t="s">
        <v>791</v>
      </c>
      <c r="E3" s="138" t="s">
        <v>1</v>
      </c>
      <c r="F3" s="138" t="s">
        <v>21</v>
      </c>
      <c r="G3" s="138" t="s">
        <v>236</v>
      </c>
      <c r="H3" s="138" t="s">
        <v>2</v>
      </c>
      <c r="I3" s="138" t="s">
        <v>5</v>
      </c>
      <c r="J3" s="138" t="s">
        <v>7</v>
      </c>
      <c r="K3" s="138" t="s">
        <v>12</v>
      </c>
      <c r="L3" s="138" t="s">
        <v>3</v>
      </c>
      <c r="M3" s="138" t="s">
        <v>4</v>
      </c>
      <c r="N3" s="138" t="s">
        <v>82</v>
      </c>
      <c r="O3" s="138" t="s">
        <v>357</v>
      </c>
      <c r="P3" s="138" t="s">
        <v>377</v>
      </c>
      <c r="Q3" s="138" t="s">
        <v>378</v>
      </c>
      <c r="R3" s="138" t="s">
        <v>792</v>
      </c>
      <c r="S3" s="138" t="s">
        <v>6</v>
      </c>
      <c r="T3" s="138" t="s">
        <v>9</v>
      </c>
      <c r="U3" s="138" t="s">
        <v>8</v>
      </c>
      <c r="V3" s="138" t="s">
        <v>13</v>
      </c>
      <c r="W3" s="138" t="s">
        <v>10</v>
      </c>
      <c r="X3" s="138" t="s">
        <v>11</v>
      </c>
      <c r="Y3" s="138" t="s">
        <v>50</v>
      </c>
      <c r="Z3" s="138" t="s">
        <v>793</v>
      </c>
      <c r="AA3" s="138" t="s">
        <v>856</v>
      </c>
      <c r="AB3" s="138" t="s">
        <v>857</v>
      </c>
      <c r="AC3" s="138" t="s">
        <v>858</v>
      </c>
      <c r="AD3" s="138" t="s">
        <v>859</v>
      </c>
      <c r="AE3" s="138" t="s">
        <v>860</v>
      </c>
      <c r="AF3" s="138" t="s">
        <v>861</v>
      </c>
      <c r="AG3" s="138" t="s">
        <v>794</v>
      </c>
      <c r="AH3" s="138" t="s">
        <v>862</v>
      </c>
      <c r="AI3" s="138" t="s">
        <v>863</v>
      </c>
      <c r="AJ3" s="138" t="s">
        <v>864</v>
      </c>
      <c r="AK3" s="138" t="s">
        <v>865</v>
      </c>
      <c r="AL3" s="138" t="s">
        <v>866</v>
      </c>
      <c r="AM3" s="138" t="s">
        <v>867</v>
      </c>
      <c r="AN3" s="138" t="s">
        <v>808</v>
      </c>
      <c r="AO3" s="138" t="s">
        <v>14</v>
      </c>
      <c r="AP3" s="138" t="s">
        <v>20</v>
      </c>
      <c r="AQ3" s="138" t="s">
        <v>16</v>
      </c>
      <c r="AR3" s="138" t="s">
        <v>15</v>
      </c>
      <c r="AS3" s="138" t="s">
        <v>809</v>
      </c>
      <c r="AT3" s="138" t="s">
        <v>868</v>
      </c>
      <c r="AU3" s="138" t="s">
        <v>869</v>
      </c>
      <c r="AV3" s="138" t="s">
        <v>870</v>
      </c>
      <c r="AW3" s="138" t="s">
        <v>871</v>
      </c>
      <c r="AX3" s="138" t="s">
        <v>872</v>
      </c>
      <c r="AY3" s="138" t="s">
        <v>810</v>
      </c>
      <c r="AZ3" s="138" t="s">
        <v>331</v>
      </c>
      <c r="BA3" s="138" t="s">
        <v>332</v>
      </c>
      <c r="BB3" s="138" t="s">
        <v>873</v>
      </c>
      <c r="BC3" s="138" t="s">
        <v>874</v>
      </c>
      <c r="BD3" s="138" t="s">
        <v>875</v>
      </c>
      <c r="BE3" s="138" t="s">
        <v>876</v>
      </c>
      <c r="BF3" s="138" t="s">
        <v>877</v>
      </c>
      <c r="BG3" s="138" t="s">
        <v>878</v>
      </c>
      <c r="BH3" s="138" t="s">
        <v>199</v>
      </c>
      <c r="BI3" s="138" t="s">
        <v>879</v>
      </c>
      <c r="BJ3" s="138" t="s">
        <v>880</v>
      </c>
      <c r="BK3" s="138" t="s">
        <v>881</v>
      </c>
      <c r="BL3" s="138" t="s">
        <v>882</v>
      </c>
      <c r="BM3" s="138" t="s">
        <v>883</v>
      </c>
    </row>
    <row r="4" spans="1:65" x14ac:dyDescent="0.2">
      <c r="A4" s="140">
        <f>TblRezone[[#This Row],[Hour]]</f>
        <v>1</v>
      </c>
      <c r="B4" s="155">
        <f>TblImps[[#This Row],[Time]]</f>
        <v>44871</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f>
        <v>0</v>
      </c>
      <c r="BD4" s="161"/>
      <c r="BE4" s="161"/>
      <c r="BF4" s="161"/>
      <c r="BG4" s="162">
        <f>TblProd[[#This Row],[Time]]</f>
        <v>44871</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44871.041666666664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2003</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406.5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f>
        <v>0</v>
      </c>
      <c r="BD5" s="161"/>
      <c r="BE5" s="161"/>
      <c r="BF5" s="161"/>
      <c r="BG5" s="162">
        <f ca="1">TblProd[[#This Row],[Time]]</f>
        <v>44871.041666666664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44871.083333333328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19033</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1977</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190.33</v>
      </c>
      <c r="AP6" s="97">
        <f ca="1">(1+race_food_consumption)*TblPop[[#This Row],[Total]]*food_per_person*(1+tech_1_10*TblTech[[#This Row],[1-10]]+tech_7_5*TblTech[[#This Row],[7-5]])</f>
        <v>413</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f>
        <v>0</v>
      </c>
      <c r="BD6" s="161"/>
      <c r="BE6" s="161"/>
      <c r="BF6" s="161"/>
      <c r="BG6" s="162">
        <f ca="1">TblProd[[#This Row],[Time]]</f>
        <v>44871.083333333328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19033</v>
      </c>
      <c r="BK6" s="97">
        <f ca="1">TblProd[[#This Row],[Lumber]]</f>
        <v>16692</v>
      </c>
      <c r="BL6" s="97">
        <f ca="1">TblProd[[#This Row],[Mana]]</f>
        <v>0</v>
      </c>
      <c r="BM6" s="97">
        <f ca="1">TblProd[[#This Row],[Ore]]</f>
        <v>0</v>
      </c>
    </row>
    <row r="7" spans="1:65" x14ac:dyDescent="0.2">
      <c r="A7" s="140">
        <v>4</v>
      </c>
      <c r="B7" s="155">
        <f ca="1">TblImps[[#This Row],[Time]]</f>
        <v>44871.124999999993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21010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1950</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210.1</v>
      </c>
      <c r="AP7" s="97">
        <f ca="1">(1+race_food_consumption)*TblPop[[#This Row],[Total]]*food_per_person*(1+tech_1_10*TblTech[[#This Row],[1-10]]+tech_7_5*TblTech[[#This Row],[7-5]])</f>
        <v>419.5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f>
        <v>0</v>
      </c>
      <c r="BD7" s="161"/>
      <c r="BE7" s="161"/>
      <c r="BF7" s="161"/>
      <c r="BG7" s="162">
        <f ca="1">TblProd[[#This Row],[Time]]</f>
        <v>44871.124999999993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21010</v>
      </c>
      <c r="BK7" s="97">
        <f ca="1">TblProd[[#This Row],[Lumber]]</f>
        <v>17525</v>
      </c>
      <c r="BL7" s="97">
        <f ca="1">TblProd[[#This Row],[Mana]]</f>
        <v>0</v>
      </c>
      <c r="BM7" s="97">
        <f ca="1">TblProd[[#This Row],[Ore]]</f>
        <v>0</v>
      </c>
    </row>
    <row r="8" spans="1:65" x14ac:dyDescent="0.2">
      <c r="A8" s="140">
        <v>5</v>
      </c>
      <c r="B8" s="155">
        <f ca="1">TblImps[[#This Row],[Time]]</f>
        <v>44871.166666666657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22960</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1924</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229.6</v>
      </c>
      <c r="AP8" s="97">
        <f ca="1">(1+race_food_consumption)*TblPop[[#This Row],[Total]]*food_per_person*(1+tech_1_10*TblTech[[#This Row],[1-10]]+tech_7_5*TblTech[[#This Row],[7-5]])</f>
        <v>426.25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f>
        <v>0</v>
      </c>
      <c r="BD8" s="161"/>
      <c r="BE8" s="161"/>
      <c r="BF8" s="161"/>
      <c r="BG8" s="162">
        <f ca="1">TblProd[[#This Row],[Time]]</f>
        <v>44871.166666666657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22960</v>
      </c>
      <c r="BK8" s="97">
        <f ca="1">TblProd[[#This Row],[Lumber]]</f>
        <v>18350</v>
      </c>
      <c r="BL8" s="97">
        <f ca="1">TblProd[[#This Row],[Mana]]</f>
        <v>0</v>
      </c>
      <c r="BM8" s="97">
        <f ca="1">TblProd[[#This Row],[Ore]]</f>
        <v>0</v>
      </c>
    </row>
    <row r="9" spans="1:65" x14ac:dyDescent="0.2">
      <c r="A9" s="140">
        <v>6</v>
      </c>
      <c r="B9" s="155">
        <f ca="1">TblImps[[#This Row],[Time]]</f>
        <v>44871.208333333321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24884</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1898</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248.84</v>
      </c>
      <c r="AP9" s="97">
        <f ca="1">(1+race_food_consumption)*TblPop[[#This Row],[Total]]*food_per_person*(1+tech_1_10*TblTech[[#This Row],[1-10]]+tech_7_5*TblTech[[#This Row],[7-5]])</f>
        <v>433.25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f>
        <v>0</v>
      </c>
      <c r="BD9" s="161"/>
      <c r="BE9" s="161"/>
      <c r="BF9" s="161"/>
      <c r="BG9" s="162">
        <f ca="1">TblProd[[#This Row],[Time]]</f>
        <v>44871.208333333321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24884</v>
      </c>
      <c r="BK9" s="97">
        <f ca="1">TblProd[[#This Row],[Lumber]]</f>
        <v>19167</v>
      </c>
      <c r="BL9" s="97">
        <f ca="1">TblProd[[#This Row],[Mana]]</f>
        <v>0</v>
      </c>
      <c r="BM9" s="97">
        <f ca="1">TblProd[[#This Row],[Ore]]</f>
        <v>0</v>
      </c>
    </row>
    <row r="10" spans="1:65" x14ac:dyDescent="0.2">
      <c r="A10" s="140">
        <v>7</v>
      </c>
      <c r="B10" s="155">
        <f ca="1">TblImps[[#This Row],[Time]]</f>
        <v>44871.249999999985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26782</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1872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267.82</v>
      </c>
      <c r="AP10" s="97">
        <f ca="1">(1+race_food_consumption)*TblPop[[#This Row],[Total]]*food_per_person*(1+tech_1_10*TblTech[[#This Row],[1-10]]+tech_7_5*TblTech[[#This Row],[7-5]])</f>
        <v>440.5</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f>
        <v>0</v>
      </c>
      <c r="BD10" s="161"/>
      <c r="BE10" s="161"/>
      <c r="BF10" s="161"/>
      <c r="BG10" s="162">
        <f ca="1">TblProd[[#This Row],[Time]]</f>
        <v>44871.249999999985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26782</v>
      </c>
      <c r="BK10" s="97">
        <f ca="1">TblProd[[#This Row],[Lumber]]</f>
        <v>19975</v>
      </c>
      <c r="BL10" s="97">
        <f ca="1">TblProd[[#This Row],[Mana]]</f>
        <v>0</v>
      </c>
      <c r="BM10" s="97">
        <f ca="1">TblProd[[#This Row],[Ore]]</f>
        <v>0</v>
      </c>
    </row>
    <row r="11" spans="1:65" x14ac:dyDescent="0.2">
      <c r="A11" s="140">
        <v>8</v>
      </c>
      <c r="B11" s="155">
        <f ca="1">TblImps[[#This Row],[Time]]</f>
        <v>44871.29166666665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28654</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1846</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286.54000000000002</v>
      </c>
      <c r="AP11" s="97">
        <f ca="1">(1+race_food_consumption)*TblPop[[#This Row],[Total]]*food_per_person*(1+tech_1_10*TblTech[[#This Row],[1-10]]+tech_7_5*TblTech[[#This Row],[7-5]])</f>
        <v>447.5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f>
        <v>0</v>
      </c>
      <c r="BD11" s="161"/>
      <c r="BE11" s="161"/>
      <c r="BF11" s="161"/>
      <c r="BG11" s="162">
        <f ca="1">TblProd[[#This Row],[Time]]</f>
        <v>44871.29166666665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28654</v>
      </c>
      <c r="BK11" s="97">
        <f ca="1">TblProd[[#This Row],[Lumber]]</f>
        <v>20775</v>
      </c>
      <c r="BL11" s="97">
        <f ca="1">TblProd[[#This Row],[Mana]]</f>
        <v>0</v>
      </c>
      <c r="BM11" s="97">
        <f ca="1">TblProd[[#This Row],[Ore]]</f>
        <v>0</v>
      </c>
    </row>
    <row r="12" spans="1:65" x14ac:dyDescent="0.2">
      <c r="A12" s="140">
        <v>9</v>
      </c>
      <c r="B12" s="155">
        <f ca="1">TblImps[[#This Row],[Time]]</f>
        <v>44871.333333333314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30500</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1820</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305</v>
      </c>
      <c r="AP12" s="97">
        <f ca="1">(1+race_food_consumption)*TblPop[[#This Row],[Total]]*food_per_person*(1+tech_1_10*TblTech[[#This Row],[1-10]]+tech_7_5*TblTech[[#This Row],[7-5]])</f>
        <v>454.75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f>
        <v>0</v>
      </c>
      <c r="BD12" s="161"/>
      <c r="BE12" s="161"/>
      <c r="BF12" s="161"/>
      <c r="BG12" s="162">
        <f ca="1">TblProd[[#This Row],[Time]]</f>
        <v>44871.333333333314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30500</v>
      </c>
      <c r="BK12" s="97">
        <f ca="1">TblProd[[#This Row],[Lumber]]</f>
        <v>21567</v>
      </c>
      <c r="BL12" s="97">
        <f ca="1">TblProd[[#This Row],[Mana]]</f>
        <v>0</v>
      </c>
      <c r="BM12" s="97">
        <f ca="1">TblProd[[#This Row],[Ore]]</f>
        <v>0</v>
      </c>
    </row>
    <row r="13" spans="1:65" x14ac:dyDescent="0.2">
      <c r="A13" s="140">
        <v>10</v>
      </c>
      <c r="B13" s="155">
        <f ca="1">TblImps[[#This Row],[Time]]</f>
        <v>44871.374999999978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32320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1795</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323.2</v>
      </c>
      <c r="AP13" s="97">
        <f ca="1">(1+race_food_consumption)*TblPop[[#This Row],[Total]]*food_per_person*(1+tech_1_10*TblTech[[#This Row],[1-10]]+tech_7_5*TblTech[[#This Row],[7-5]])</f>
        <v>462.25</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f>
        <v>0</v>
      </c>
      <c r="BD13" s="161"/>
      <c r="BE13" s="161"/>
      <c r="BF13" s="161"/>
      <c r="BG13" s="162">
        <f ca="1">TblProd[[#This Row],[Time]]</f>
        <v>44871.374999999978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32320</v>
      </c>
      <c r="BK13" s="97">
        <f ca="1">TblProd[[#This Row],[Lumber]]</f>
        <v>22351</v>
      </c>
      <c r="BL13" s="97">
        <f ca="1">TblProd[[#This Row],[Mana]]</f>
        <v>0</v>
      </c>
      <c r="BM13" s="97">
        <f ca="1">TblProd[[#This Row],[Ore]]</f>
        <v>0</v>
      </c>
    </row>
    <row r="14" spans="1:65" x14ac:dyDescent="0.2">
      <c r="A14" s="140">
        <v>11</v>
      </c>
      <c r="B14" s="155">
        <f ca="1">TblImps[[#This Row],[Time]]</f>
        <v>44871.416666666642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34115</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1769</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341.15000000000003</v>
      </c>
      <c r="AP14" s="97">
        <f ca="1">(1+race_food_consumption)*TblPop[[#This Row],[Total]]*food_per_person*(1+tech_1_10*TblTech[[#This Row],[1-10]]+tech_7_5*TblTech[[#This Row],[7-5]])</f>
        <v>470</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f>
        <v>0</v>
      </c>
      <c r="BD14" s="161"/>
      <c r="BE14" s="161"/>
      <c r="BF14" s="161"/>
      <c r="BG14" s="162">
        <f ca="1">TblProd[[#This Row],[Time]]</f>
        <v>44871.416666666642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34115</v>
      </c>
      <c r="BK14" s="97">
        <f ca="1">TblProd[[#This Row],[Lumber]]</f>
        <v>23127</v>
      </c>
      <c r="BL14" s="97">
        <f ca="1">TblProd[[#This Row],[Mana]]</f>
        <v>0</v>
      </c>
      <c r="BM14" s="97">
        <f ca="1">TblProd[[#This Row],[Ore]]</f>
        <v>0</v>
      </c>
    </row>
    <row r="15" spans="1:65" x14ac:dyDescent="0.2">
      <c r="A15" s="140">
        <v>12</v>
      </c>
      <c r="B15" s="155">
        <f ca="1">TblImps[[#This Row],[Time]]</f>
        <v>44871.458333333307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35884</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1743</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358.84000000000003</v>
      </c>
      <c r="AP15" s="97">
        <f ca="1">(1+race_food_consumption)*TblPop[[#This Row],[Total]]*food_per_person*(1+tech_1_10*TblTech[[#This Row],[1-10]]+tech_7_5*TblTech[[#This Row],[7-5]])</f>
        <v>477.75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f>
        <v>0</v>
      </c>
      <c r="BD15" s="161"/>
      <c r="BE15" s="161"/>
      <c r="BF15" s="161"/>
      <c r="BG15" s="162">
        <f ca="1">TblProd[[#This Row],[Time]]</f>
        <v>44871.458333333307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35884</v>
      </c>
      <c r="BK15" s="97">
        <f ca="1">TblProd[[#This Row],[Lumber]]</f>
        <v>23896</v>
      </c>
      <c r="BL15" s="97">
        <f ca="1">TblProd[[#This Row],[Mana]]</f>
        <v>0</v>
      </c>
      <c r="BM15" s="97">
        <f ca="1">TblProd[[#This Row],[Ore]]</f>
        <v>0</v>
      </c>
    </row>
    <row r="16" spans="1:65" x14ac:dyDescent="0.2">
      <c r="A16" s="140">
        <v>13</v>
      </c>
      <c r="B16" s="155">
        <f ca="1">TblImps[[#This Row],[Time]]</f>
        <v>44871.499999999971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37627</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1718</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376.27</v>
      </c>
      <c r="AP16" s="97">
        <f ca="1">(1+race_food_consumption)*TblPop[[#This Row],[Total]]*food_per_person*(1+tech_1_10*TblTech[[#This Row],[1-10]]+tech_7_5*TblTech[[#This Row],[7-5]])</f>
        <v>485.75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f>
        <v>0</v>
      </c>
      <c r="BD16" s="161"/>
      <c r="BE16" s="161"/>
      <c r="BF16" s="161"/>
      <c r="BG16" s="162">
        <f ca="1">TblProd[[#This Row],[Time]]</f>
        <v>44871.499999999971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37627</v>
      </c>
      <c r="BK16" s="97">
        <f ca="1">TblProd[[#This Row],[Lumber]]</f>
        <v>24657</v>
      </c>
      <c r="BL16" s="97">
        <f ca="1">TblProd[[#This Row],[Mana]]</f>
        <v>0</v>
      </c>
      <c r="BM16" s="97">
        <f ca="1">TblProd[[#This Row],[Ore]]</f>
        <v>0</v>
      </c>
    </row>
    <row r="17" spans="1:65" x14ac:dyDescent="0.2">
      <c r="A17" s="140">
        <v>14</v>
      </c>
      <c r="B17" s="155">
        <f ca="1">TblImps[[#This Row],[Time]]</f>
        <v>44871.541666666635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39345</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1693</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393.45</v>
      </c>
      <c r="AP17" s="97">
        <f ca="1">(1+race_food_consumption)*TblPop[[#This Row],[Total]]*food_per_person*(1+tech_1_10*TblTech[[#This Row],[1-10]]+tech_7_5*TblTech[[#This Row],[7-5]])</f>
        <v>494</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f>
        <v>0</v>
      </c>
      <c r="BD17" s="161"/>
      <c r="BE17" s="161"/>
      <c r="BF17" s="161"/>
      <c r="BG17" s="162">
        <f ca="1">TblProd[[#This Row],[Time]]</f>
        <v>44871.541666666635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39345</v>
      </c>
      <c r="BK17" s="97">
        <f ca="1">TblProd[[#This Row],[Lumber]]</f>
        <v>25410</v>
      </c>
      <c r="BL17" s="97">
        <f ca="1">TblProd[[#This Row],[Mana]]</f>
        <v>0</v>
      </c>
      <c r="BM17" s="97">
        <f ca="1">TblProd[[#This Row],[Ore]]</f>
        <v>0</v>
      </c>
    </row>
    <row r="18" spans="1:65" x14ac:dyDescent="0.2">
      <c r="A18" s="140">
        <v>15</v>
      </c>
      <c r="B18" s="155">
        <f ca="1">TblImps[[#This Row],[Time]]</f>
        <v>44871.583333333299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41038</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1667</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410.38</v>
      </c>
      <c r="AP18" s="97">
        <f ca="1">(1+race_food_consumption)*TblPop[[#This Row],[Total]]*food_per_person*(1+tech_1_10*TblTech[[#This Row],[1-10]]+tech_7_5*TblTech[[#This Row],[7-5]])</f>
        <v>502.25</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f>
        <v>0</v>
      </c>
      <c r="BD18" s="161"/>
      <c r="BE18" s="161"/>
      <c r="BF18" s="161"/>
      <c r="BG18" s="162">
        <f ca="1">TblProd[[#This Row],[Time]]</f>
        <v>44871.583333333299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41038</v>
      </c>
      <c r="BK18" s="97">
        <f ca="1">TblProd[[#This Row],[Lumber]]</f>
        <v>26156</v>
      </c>
      <c r="BL18" s="97">
        <f ca="1">TblProd[[#This Row],[Mana]]</f>
        <v>0</v>
      </c>
      <c r="BM18" s="97">
        <f ca="1">TblProd[[#This Row],[Ore]]</f>
        <v>0</v>
      </c>
    </row>
    <row r="19" spans="1:65" x14ac:dyDescent="0.2">
      <c r="A19" s="140">
        <v>16</v>
      </c>
      <c r="B19" s="155">
        <f ca="1">TblImps[[#This Row],[Time]]</f>
        <v>44871.624999999964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42705</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1642</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427.05</v>
      </c>
      <c r="AP19" s="97">
        <f ca="1">(1+race_food_consumption)*TblPop[[#This Row],[Total]]*food_per_person*(1+tech_1_10*TblTech[[#This Row],[1-10]]+tech_7_5*TblTech[[#This Row],[7-5]])</f>
        <v>510.75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f>
        <v>0</v>
      </c>
      <c r="BD19" s="161"/>
      <c r="BE19" s="161"/>
      <c r="BF19" s="161"/>
      <c r="BG19" s="162">
        <f ca="1">TblProd[[#This Row],[Time]]</f>
        <v>44871.624999999964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42705</v>
      </c>
      <c r="BK19" s="97">
        <f ca="1">TblProd[[#This Row],[Lumber]]</f>
        <v>26894</v>
      </c>
      <c r="BL19" s="97">
        <f ca="1">TblProd[[#This Row],[Mana]]</f>
        <v>0</v>
      </c>
      <c r="BM19" s="97">
        <f ca="1">TblProd[[#This Row],[Ore]]</f>
        <v>0</v>
      </c>
    </row>
    <row r="20" spans="1:65" x14ac:dyDescent="0.2">
      <c r="A20" s="140">
        <v>17</v>
      </c>
      <c r="B20" s="155">
        <f ca="1">TblImps[[#This Row],[Time]]</f>
        <v>44871.666666666628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44347</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1617</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443.47</v>
      </c>
      <c r="AP20" s="97">
        <f ca="1">(1+race_food_consumption)*TblPop[[#This Row],[Total]]*food_per_person*(1+tech_1_10*TblTech[[#This Row],[1-10]]+tech_7_5*TblTech[[#This Row],[7-5]])</f>
        <v>519.5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f>
        <v>0</v>
      </c>
      <c r="BD20" s="161"/>
      <c r="BE20" s="161"/>
      <c r="BF20" s="161"/>
      <c r="BG20" s="162">
        <f ca="1">TblProd[[#This Row],[Time]]</f>
        <v>44871.666666666628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44347</v>
      </c>
      <c r="BK20" s="97">
        <f ca="1">TblProd[[#This Row],[Lumber]]</f>
        <v>27625</v>
      </c>
      <c r="BL20" s="97">
        <f ca="1">TblProd[[#This Row],[Mana]]</f>
        <v>0</v>
      </c>
      <c r="BM20" s="97">
        <f ca="1">TblProd[[#This Row],[Ore]]</f>
        <v>0</v>
      </c>
    </row>
    <row r="21" spans="1:65" x14ac:dyDescent="0.2">
      <c r="A21" s="140">
        <v>18</v>
      </c>
      <c r="B21" s="155">
        <f ca="1">TblImps[[#This Row],[Time]]</f>
        <v>44871.708333333292</v>
      </c>
      <c r="C21" s="156"/>
      <c r="D21" s="157"/>
      <c r="E21" s="97">
        <f ca="1">TblConstr[[#This Row],[Land]]</f>
        <v>250</v>
      </c>
      <c r="F21" s="97">
        <f ca="1">TblPop[[#This Row],[Peasants]]</f>
        <v>1813</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45964</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1592</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5670.0000000000009</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459.64</v>
      </c>
      <c r="AP21" s="97">
        <f ca="1">(1+race_food_consumption)*TblPop[[#This Row],[Total]]*food_per_person*(1+tech_1_10*TblTech[[#This Row],[1-10]]+tech_7_5*TblTech[[#This Row],[7-5]])</f>
        <v>528.25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f>
        <v>0</v>
      </c>
      <c r="BD21" s="161"/>
      <c r="BE21" s="161"/>
      <c r="BF21" s="161"/>
      <c r="BG21" s="162">
        <f ca="1">TblProd[[#This Row],[Time]]</f>
        <v>44871.708333333292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45964</v>
      </c>
      <c r="BK21" s="97">
        <f ca="1">TblProd[[#This Row],[Lumber]]</f>
        <v>28349</v>
      </c>
      <c r="BL21" s="97">
        <f ca="1">TblProd[[#This Row],[Mana]]</f>
        <v>0</v>
      </c>
      <c r="BM21" s="97">
        <f ca="1">TblProd[[#This Row],[Ore]]</f>
        <v>0</v>
      </c>
    </row>
    <row r="22" spans="1:65" x14ac:dyDescent="0.2">
      <c r="A22" s="140">
        <v>19</v>
      </c>
      <c r="B22" s="155">
        <f ca="1">TblImps[[#This Row],[Time]]</f>
        <v>44871.749999999956</v>
      </c>
      <c r="C22" s="156"/>
      <c r="D22" s="157"/>
      <c r="E22" s="97">
        <f ca="1">TblConstr[[#This Row],[Land]]</f>
        <v>250</v>
      </c>
      <c r="F22" s="97">
        <f ca="1">TblPop[[#This Row],[Peasants]]</f>
        <v>1849</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47556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1567</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475.56</v>
      </c>
      <c r="AP22" s="97">
        <f ca="1">(1+race_food_consumption)*TblPop[[#This Row],[Total]]*food_per_person*(1+tech_1_10*TblTech[[#This Row],[1-10]]+tech_7_5*TblTech[[#This Row],[7-5]])</f>
        <v>537.25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f>
        <v>0</v>
      </c>
      <c r="BD22" s="161"/>
      <c r="BE22" s="161"/>
      <c r="BF22" s="161"/>
      <c r="BG22" s="162">
        <f ca="1">TblProd[[#This Row],[Time]]</f>
        <v>44871.749999999956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47556</v>
      </c>
      <c r="BK22" s="97">
        <f ca="1">TblProd[[#This Row],[Lumber]]</f>
        <v>29066</v>
      </c>
      <c r="BL22" s="97">
        <f ca="1">TblProd[[#This Row],[Mana]]</f>
        <v>0</v>
      </c>
      <c r="BM22" s="97">
        <f ca="1">TblProd[[#This Row],[Ore]]</f>
        <v>0</v>
      </c>
    </row>
    <row r="23" spans="1:65" x14ac:dyDescent="0.2">
      <c r="A23" s="140">
        <v>20</v>
      </c>
      <c r="B23" s="155">
        <f ca="1">TblImps[[#This Row],[Time]]</f>
        <v>44871.791666666621</v>
      </c>
      <c r="C23" s="156"/>
      <c r="D23" s="157"/>
      <c r="E23" s="97">
        <f ca="1">TblConstr[[#This Row],[Land]]</f>
        <v>250</v>
      </c>
      <c r="F23" s="97">
        <f ca="1">TblPop[[#This Row],[Peasants]]</f>
        <v>1886</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49123</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1542</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491.23</v>
      </c>
      <c r="AP23" s="97">
        <f ca="1">(1+race_food_consumption)*TblPop[[#This Row],[Total]]*food_per_person*(1+tech_1_10*TblTech[[#This Row],[1-10]]+tech_7_5*TblTech[[#This Row],[7-5]])</f>
        <v>546.5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f>
        <v>0</v>
      </c>
      <c r="BD23" s="161"/>
      <c r="BE23" s="161"/>
      <c r="BF23" s="161"/>
      <c r="BG23" s="162">
        <f ca="1">TblProd[[#This Row],[Time]]</f>
        <v>44871.791666666621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49123</v>
      </c>
      <c r="BK23" s="97">
        <f ca="1">TblProd[[#This Row],[Lumber]]</f>
        <v>29775</v>
      </c>
      <c r="BL23" s="97">
        <f ca="1">TblProd[[#This Row],[Mana]]</f>
        <v>0</v>
      </c>
      <c r="BM23" s="97">
        <f ca="1">TblProd[[#This Row],[Ore]]</f>
        <v>0</v>
      </c>
    </row>
    <row r="24" spans="1:65" x14ac:dyDescent="0.2">
      <c r="A24" s="140">
        <v>21</v>
      </c>
      <c r="B24" s="155">
        <f ca="1">TblImps[[#This Row],[Time]]</f>
        <v>44871.833333333285</v>
      </c>
      <c r="C24" s="156"/>
      <c r="D24" s="157"/>
      <c r="E24" s="97">
        <f ca="1">TblConstr[[#This Row],[Land]]</f>
        <v>250</v>
      </c>
      <c r="F24" s="97">
        <f ca="1">TblPop[[#This Row],[Peasants]]</f>
        <v>1923</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50665</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1518</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506.65000000000003</v>
      </c>
      <c r="AP24" s="97">
        <f ca="1">(1+race_food_consumption)*TblPop[[#This Row],[Total]]*food_per_person*(1+tech_1_10*TblTech[[#This Row],[1-10]]+tech_7_5*TblTech[[#This Row],[7-5]])</f>
        <v>555.75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f>
        <v>0</v>
      </c>
      <c r="BD24" s="161"/>
      <c r="BE24" s="161"/>
      <c r="BF24" s="161"/>
      <c r="BG24" s="162">
        <f ca="1">TblProd[[#This Row],[Time]]</f>
        <v>44871.833333333285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50665</v>
      </c>
      <c r="BK24" s="97">
        <f ca="1">TblProd[[#This Row],[Lumber]]</f>
        <v>30477</v>
      </c>
      <c r="BL24" s="97">
        <f ca="1">TblProd[[#This Row],[Mana]]</f>
        <v>0</v>
      </c>
      <c r="BM24" s="97">
        <f ca="1">TblProd[[#This Row],[Ore]]</f>
        <v>0</v>
      </c>
    </row>
    <row r="25" spans="1:65" x14ac:dyDescent="0.2">
      <c r="A25" s="140">
        <v>22</v>
      </c>
      <c r="B25" s="155">
        <f ca="1">TblImps[[#This Row],[Time]]</f>
        <v>44871.874999999949</v>
      </c>
      <c r="C25" s="156"/>
      <c r="D25" s="157"/>
      <c r="E25" s="97">
        <f ca="1">TblConstr[[#This Row],[Land]]</f>
        <v>250</v>
      </c>
      <c r="F25" s="97">
        <f ca="1">TblPop[[#This Row],[Peasants]]</f>
        <v>1961</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52183</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1493</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5670.0000000000009</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521.83000000000004</v>
      </c>
      <c r="AP25" s="97">
        <f ca="1">(1+race_food_consumption)*TblPop[[#This Row],[Total]]*food_per_person*(1+tech_1_10*TblTech[[#This Row],[1-10]]+tech_7_5*TblTech[[#This Row],[7-5]])</f>
        <v>565.25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f>
        <v>0</v>
      </c>
      <c r="BD25" s="161"/>
      <c r="BE25" s="161"/>
      <c r="BF25" s="161"/>
      <c r="BG25" s="162">
        <f ca="1">TblProd[[#This Row],[Time]]</f>
        <v>44871.874999999949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52183</v>
      </c>
      <c r="BK25" s="97">
        <f ca="1">TblProd[[#This Row],[Lumber]]</f>
        <v>31172</v>
      </c>
      <c r="BL25" s="97">
        <f ca="1">TblProd[[#This Row],[Mana]]</f>
        <v>0</v>
      </c>
      <c r="BM25" s="97">
        <f ca="1">TblProd[[#This Row],[Ore]]</f>
        <v>0</v>
      </c>
    </row>
    <row r="26" spans="1:65" x14ac:dyDescent="0.2">
      <c r="A26" s="140">
        <v>23</v>
      </c>
      <c r="B26" s="155">
        <f ca="1">TblImps[[#This Row],[Time]]</f>
        <v>44871.916666666613</v>
      </c>
      <c r="C26" s="156"/>
      <c r="D26" s="157"/>
      <c r="E26" s="97">
        <f ca="1">TblConstr[[#This Row],[Land]]</f>
        <v>250</v>
      </c>
      <c r="F26" s="97">
        <f ca="1">TblPop[[#This Row],[Peasants]]</f>
        <v>1999</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53676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1468</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536.76</v>
      </c>
      <c r="AP26" s="97">
        <f ca="1">(1+race_food_consumption)*TblPop[[#This Row],[Total]]*food_per_person*(1+tech_1_10*TblTech[[#This Row],[1-10]]+tech_7_5*TblTech[[#This Row],[7-5]])</f>
        <v>574.75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f>
        <v>0</v>
      </c>
      <c r="BD26" s="161"/>
      <c r="BE26" s="161"/>
      <c r="BF26" s="161"/>
      <c r="BG26" s="162">
        <f ca="1">TblProd[[#This Row],[Time]]</f>
        <v>44871.916666666613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53676</v>
      </c>
      <c r="BK26" s="97">
        <f ca="1">TblProd[[#This Row],[Lumber]]</f>
        <v>31860</v>
      </c>
      <c r="BL26" s="97">
        <f ca="1">TblProd[[#This Row],[Mana]]</f>
        <v>0</v>
      </c>
      <c r="BM26" s="97">
        <f ca="1">TblProd[[#This Row],[Ore]]</f>
        <v>0</v>
      </c>
    </row>
    <row r="27" spans="1:65" x14ac:dyDescent="0.2">
      <c r="A27" s="140">
        <v>24</v>
      </c>
      <c r="B27" s="155">
        <f ca="1">TblImps[[#This Row],[Time]]</f>
        <v>44871.958333333278</v>
      </c>
      <c r="C27" s="156"/>
      <c r="D27" s="157"/>
      <c r="E27" s="97">
        <f ca="1">TblConstr[[#This Row],[Land]]</f>
        <v>250</v>
      </c>
      <c r="F27" s="97">
        <f ca="1">TblPop[[#This Row],[Peasants]]</f>
        <v>2038</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55144</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1444</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551.44000000000005</v>
      </c>
      <c r="AP27" s="97">
        <f ca="1">(1+race_food_consumption)*TblPop[[#This Row],[Total]]*food_per_person*(1+tech_1_10*TblTech[[#This Row],[1-10]]+tech_7_5*TblTech[[#This Row],[7-5]])</f>
        <v>584.5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f>
        <v>0</v>
      </c>
      <c r="BD27" s="161"/>
      <c r="BE27" s="161"/>
      <c r="BF27" s="161"/>
      <c r="BG27" s="162">
        <f ca="1">TblProd[[#This Row],[Time]]</f>
        <v>44871.958333333278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55144</v>
      </c>
      <c r="BK27" s="97">
        <f ca="1">TblProd[[#This Row],[Lumber]]</f>
        <v>32541</v>
      </c>
      <c r="BL27" s="97">
        <f ca="1">TblProd[[#This Row],[Mana]]</f>
        <v>0</v>
      </c>
      <c r="BM27" s="97">
        <f ca="1">TblProd[[#This Row],[Ore]]</f>
        <v>0</v>
      </c>
    </row>
    <row r="28" spans="1:65" x14ac:dyDescent="0.2">
      <c r="A28" s="140">
        <v>25</v>
      </c>
      <c r="B28" s="155">
        <f ca="1">TblImps[[#This Row],[Time]]</f>
        <v>44871.999999999942</v>
      </c>
      <c r="C28" s="156"/>
      <c r="D28" s="157"/>
      <c r="E28" s="97">
        <f ca="1">TblConstr[[#This Row],[Land]]</f>
        <v>250</v>
      </c>
      <c r="F28" s="97">
        <f ca="1">TblPop[[#This Row],[Peasants]]</f>
        <v>2038</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56588</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1430</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565.88</v>
      </c>
      <c r="AP28" s="97">
        <f ca="1">(1+race_food_consumption)*TblPop[[#This Row],[Total]]*food_per_person*(1+tech_1_10*TblTech[[#This Row],[1-10]]+tech_7_5*TblTech[[#This Row],[7-5]])</f>
        <v>584.5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f>
        <v>0</v>
      </c>
      <c r="BD28" s="161"/>
      <c r="BE28" s="161"/>
      <c r="BF28" s="161"/>
      <c r="BG28" s="162">
        <f ca="1">TblProd[[#This Row],[Time]]</f>
        <v>44871.999999999942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56588</v>
      </c>
      <c r="BK28" s="97">
        <f ca="1">TblProd[[#This Row],[Lumber]]</f>
        <v>33216</v>
      </c>
      <c r="BL28" s="97">
        <f ca="1">TblProd[[#This Row],[Mana]]</f>
        <v>0</v>
      </c>
      <c r="BM28" s="97">
        <f ca="1">TblProd[[#This Row],[Ore]]</f>
        <v>0</v>
      </c>
    </row>
    <row r="29" spans="1:65" x14ac:dyDescent="0.2">
      <c r="A29" s="140">
        <v>26</v>
      </c>
      <c r="B29" s="155">
        <f ca="1">TblImps[[#This Row],[Time]]</f>
        <v>44872.041666666606</v>
      </c>
      <c r="C29" s="156"/>
      <c r="D29" s="157"/>
      <c r="E29" s="97">
        <f ca="1">TblConstr[[#This Row],[Land]]</f>
        <v>250</v>
      </c>
      <c r="F29" s="97">
        <f ca="1">TblPop[[#This Row],[Peasants]]</f>
        <v>2038</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58018</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1415</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580.18000000000006</v>
      </c>
      <c r="AP29" s="97">
        <f ca="1">(1+race_food_consumption)*TblPop[[#This Row],[Total]]*food_per_person*(1+tech_1_10*TblTech[[#This Row],[1-10]]+tech_7_5*TblTech[[#This Row],[7-5]])</f>
        <v>584.5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f>
        <v>0</v>
      </c>
      <c r="BD29" s="161"/>
      <c r="BE29" s="161"/>
      <c r="BF29" s="161"/>
      <c r="BG29" s="162">
        <f ca="1">TblProd[[#This Row],[Time]]</f>
        <v>44872.041666666606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58018</v>
      </c>
      <c r="BK29" s="97">
        <f ca="1">TblProd[[#This Row],[Lumber]]</f>
        <v>33884</v>
      </c>
      <c r="BL29" s="97">
        <f ca="1">TblProd[[#This Row],[Mana]]</f>
        <v>0</v>
      </c>
      <c r="BM29" s="97">
        <f ca="1">TblProd[[#This Row],[Ore]]</f>
        <v>0</v>
      </c>
    </row>
    <row r="30" spans="1:65" x14ac:dyDescent="0.2">
      <c r="A30" s="140">
        <v>27</v>
      </c>
      <c r="B30" s="155">
        <f ca="1">TblImps[[#This Row],[Time]]</f>
        <v>44872.08333333327</v>
      </c>
      <c r="C30" s="156"/>
      <c r="D30" s="157"/>
      <c r="E30" s="97">
        <f ca="1">TblConstr[[#This Row],[Land]]</f>
        <v>250</v>
      </c>
      <c r="F30" s="97">
        <f ca="1">TblPop[[#This Row],[Peasants]]</f>
        <v>2038</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59433</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1401</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594.33000000000004</v>
      </c>
      <c r="AP30" s="97">
        <f ca="1">(1+race_food_consumption)*TblPop[[#This Row],[Total]]*food_per_person*(1+tech_1_10*TblTech[[#This Row],[1-10]]+tech_7_5*TblTech[[#This Row],[7-5]])</f>
        <v>584.5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f>
        <v>0</v>
      </c>
      <c r="BD30" s="161"/>
      <c r="BE30" s="161"/>
      <c r="BF30" s="161"/>
      <c r="BG30" s="162">
        <f ca="1">TblProd[[#This Row],[Time]]</f>
        <v>44872.08333333327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59433</v>
      </c>
      <c r="BK30" s="97">
        <f ca="1">TblProd[[#This Row],[Lumber]]</f>
        <v>34545</v>
      </c>
      <c r="BL30" s="97">
        <f ca="1">TblProd[[#This Row],[Mana]]</f>
        <v>0</v>
      </c>
      <c r="BM30" s="97">
        <f ca="1">TblProd[[#This Row],[Ore]]</f>
        <v>0</v>
      </c>
    </row>
    <row r="31" spans="1:65" x14ac:dyDescent="0.2">
      <c r="A31" s="140">
        <v>28</v>
      </c>
      <c r="B31" s="155">
        <f ca="1">TblImps[[#This Row],[Time]]</f>
        <v>44872.124999999935</v>
      </c>
      <c r="C31" s="156"/>
      <c r="D31" s="157"/>
      <c r="E31" s="97">
        <f ca="1">TblConstr[[#This Row],[Land]]</f>
        <v>250</v>
      </c>
      <c r="F31" s="97">
        <f ca="1">TblPop[[#This Row],[Peasants]]</f>
        <v>2038</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60834</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1387</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608.34</v>
      </c>
      <c r="AP31" s="97">
        <f ca="1">(1+race_food_consumption)*TblPop[[#This Row],[Total]]*food_per_person*(1+tech_1_10*TblTech[[#This Row],[1-10]]+tech_7_5*TblTech[[#This Row],[7-5]])</f>
        <v>584.5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f>
        <v>0</v>
      </c>
      <c r="BD31" s="161"/>
      <c r="BE31" s="161"/>
      <c r="BF31" s="161"/>
      <c r="BG31" s="162">
        <f ca="1">TblProd[[#This Row],[Time]]</f>
        <v>44872.124999999935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60834</v>
      </c>
      <c r="BK31" s="97">
        <f ca="1">TblProd[[#This Row],[Lumber]]</f>
        <v>35200</v>
      </c>
      <c r="BL31" s="97">
        <f ca="1">TblProd[[#This Row],[Mana]]</f>
        <v>0</v>
      </c>
      <c r="BM31" s="97">
        <f ca="1">TblProd[[#This Row],[Ore]]</f>
        <v>0</v>
      </c>
    </row>
    <row r="32" spans="1:65" x14ac:dyDescent="0.2">
      <c r="A32" s="140">
        <v>29</v>
      </c>
      <c r="B32" s="155">
        <f ca="1">TblImps[[#This Row],[Time]]</f>
        <v>44872.166666666599</v>
      </c>
      <c r="C32" s="156"/>
      <c r="D32" s="157"/>
      <c r="E32" s="97">
        <f ca="1">TblConstr[[#This Row],[Land]]</f>
        <v>250</v>
      </c>
      <c r="F32" s="97">
        <f ca="1">TblPop[[#This Row],[Peasants]]</f>
        <v>2038</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62221</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1373</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622.21</v>
      </c>
      <c r="AP32" s="97">
        <f ca="1">(1+race_food_consumption)*TblPop[[#This Row],[Total]]*food_per_person*(1+tech_1_10*TblTech[[#This Row],[1-10]]+tech_7_5*TblTech[[#This Row],[7-5]])</f>
        <v>584.5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f>
        <v>0</v>
      </c>
      <c r="BD32" s="161"/>
      <c r="BE32" s="161"/>
      <c r="BF32" s="161"/>
      <c r="BG32" s="162">
        <f ca="1">TblProd[[#This Row],[Time]]</f>
        <v>44872.166666666599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62221</v>
      </c>
      <c r="BK32" s="97">
        <f ca="1">TblProd[[#This Row],[Lumber]]</f>
        <v>35848</v>
      </c>
      <c r="BL32" s="97">
        <f ca="1">TblProd[[#This Row],[Mana]]</f>
        <v>0</v>
      </c>
      <c r="BM32" s="97">
        <f ca="1">TblProd[[#This Row],[Ore]]</f>
        <v>0</v>
      </c>
    </row>
    <row r="33" spans="1:65" x14ac:dyDescent="0.2">
      <c r="A33" s="140">
        <v>30</v>
      </c>
      <c r="B33" s="155">
        <f ca="1">TblImps[[#This Row],[Time]]</f>
        <v>44872.208333333263</v>
      </c>
      <c r="C33" s="156"/>
      <c r="D33" s="157"/>
      <c r="E33" s="97">
        <f ca="1">TblConstr[[#This Row],[Land]]</f>
        <v>250</v>
      </c>
      <c r="F33" s="97">
        <f ca="1">TblPop[[#This Row],[Peasants]]</f>
        <v>2038</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63594</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5670</v>
      </c>
      <c r="T33" s="97">
        <f ca="1">ROUND(TblProd[[#This Row],[Raw Food/hr]]*(1+TblProd[[#This Row],[Bonus Food/hr]])-TblProd[[#This Row],[Food decay]]-TblProd[[#This Row],[Food eaten]],0)</f>
        <v>1360</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5670</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635.94000000000005</v>
      </c>
      <c r="AP33" s="97">
        <f ca="1">(1+race_food_consumption)*TblPop[[#This Row],[Total]]*food_per_person*(1+tech_1_10*TblTech[[#This Row],[1-10]]+tech_7_5*TblTech[[#This Row],[7-5]])</f>
        <v>584.5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f>
        <v>0</v>
      </c>
      <c r="BD33" s="161"/>
      <c r="BE33" s="161"/>
      <c r="BF33" s="161"/>
      <c r="BG33" s="162">
        <f ca="1">TblProd[[#This Row],[Time]]</f>
        <v>44872.208333333263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63594</v>
      </c>
      <c r="BK33" s="97">
        <f ca="1">TblProd[[#This Row],[Lumber]]</f>
        <v>36490</v>
      </c>
      <c r="BL33" s="97">
        <f ca="1">TblProd[[#This Row],[Mana]]</f>
        <v>0</v>
      </c>
      <c r="BM33" s="97">
        <f ca="1">TblProd[[#This Row],[Ore]]</f>
        <v>0</v>
      </c>
    </row>
    <row r="34" spans="1:65" x14ac:dyDescent="0.2">
      <c r="A34" s="140">
        <v>31</v>
      </c>
      <c r="B34" s="155">
        <f ca="1">TblImps[[#This Row],[Time]]</f>
        <v>44872.249999999927</v>
      </c>
      <c r="C34" s="156"/>
      <c r="D34" s="157"/>
      <c r="E34" s="97">
        <f ca="1">TblConstr[[#This Row],[Land]]</f>
        <v>250</v>
      </c>
      <c r="F34" s="97">
        <f ca="1">TblPop[[#This Row],[Peasants]]</f>
        <v>2038</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265221</v>
      </c>
      <c r="I34" s="97">
        <f ca="1">OFFSET(TblProd[[#This Row],[Food]],-1,0)+OFFSET(TblProd[[#This Row],[Food/hr]],-1,0)+ROUNDUP((TblConstr[[#This Row],[Farms]]*80+TblConstr[[#This Row],[Docks]]*35)*(1+OFFSET(TblProd[[#This Row],[Bonus Food/hr]],-1,0)),0)</f>
        <v>64954</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5670</v>
      </c>
      <c r="T34" s="97">
        <f ca="1">ROUND(TblProd[[#This Row],[Raw Food/hr]]*(1+TblProd[[#This Row],[Bonus Food/hr]])-TblProd[[#This Row],[Food decay]]-TblProd[[#This Row],[Food eaten]],0)</f>
        <v>1346</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5670</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649.54</v>
      </c>
      <c r="AP34" s="97">
        <f ca="1">(1+race_food_consumption)*TblPop[[#This Row],[Total]]*food_per_person*(1+tech_1_10*TblTech[[#This Row],[1-10]]+tech_7_5*TblTech[[#This Row],[7-5]])</f>
        <v>584.5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f>
        <v>0</v>
      </c>
      <c r="BD34" s="161"/>
      <c r="BE34" s="161"/>
      <c r="BF34" s="161"/>
      <c r="BG34" s="162">
        <f ca="1">TblProd[[#This Row],[Time]]</f>
        <v>44872.249999999927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265221</v>
      </c>
      <c r="BJ34" s="97">
        <f ca="1">TblProd[[#This Row],[Food]]</f>
        <v>64954</v>
      </c>
      <c r="BK34" s="97">
        <f ca="1">TblProd[[#This Row],[Lumber]]</f>
        <v>37125</v>
      </c>
      <c r="BL34" s="97">
        <f ca="1">TblProd[[#This Row],[Mana]]</f>
        <v>0</v>
      </c>
      <c r="BM34" s="97">
        <f ca="1">TblProd[[#This Row],[Ore]]</f>
        <v>0</v>
      </c>
    </row>
    <row r="35" spans="1:65" x14ac:dyDescent="0.2">
      <c r="A35" s="140">
        <v>32</v>
      </c>
      <c r="B35" s="155">
        <f ca="1">TblImps[[#This Row],[Time]]</f>
        <v>44872.291666666591</v>
      </c>
      <c r="C35" s="156"/>
      <c r="D35" s="157"/>
      <c r="E35" s="97">
        <f ca="1">TblConstr[[#This Row],[Land]]</f>
        <v>250</v>
      </c>
      <c r="F35" s="97">
        <f ca="1">TblPop[[#This Row],[Peasants]]</f>
        <v>2038</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270891</v>
      </c>
      <c r="I35" s="97">
        <f ca="1">OFFSET(TblProd[[#This Row],[Food]],-1,0)+OFFSET(TblProd[[#This Row],[Food/hr]],-1,0)+ROUNDUP((TblConstr[[#This Row],[Farms]]*80+TblConstr[[#This Row],[Docks]]*35)*(1+OFFSET(TblProd[[#This Row],[Bonus Food/hr]],-1,0)),0)</f>
        <v>66300</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5670</v>
      </c>
      <c r="T35" s="97">
        <f ca="1">ROUND(TblProd[[#This Row],[Raw Food/hr]]*(1+TblProd[[#This Row],[Bonus Food/hr]])-TblProd[[#This Row],[Food decay]]-TblProd[[#This Row],[Food eaten]],0)</f>
        <v>1333</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5670</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663</v>
      </c>
      <c r="AP35" s="97">
        <f ca="1">(1+race_food_consumption)*TblPop[[#This Row],[Total]]*food_per_person*(1+tech_1_10*TblTech[[#This Row],[1-10]]+tech_7_5*TblTech[[#This Row],[7-5]])</f>
        <v>584.5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f>
        <v>0</v>
      </c>
      <c r="BD35" s="161"/>
      <c r="BE35" s="161"/>
      <c r="BF35" s="161"/>
      <c r="BG35" s="162">
        <f ca="1">TblProd[[#This Row],[Time]]</f>
        <v>44872.291666666591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270891</v>
      </c>
      <c r="BJ35" s="97">
        <f ca="1">TblProd[[#This Row],[Food]]</f>
        <v>66300</v>
      </c>
      <c r="BK35" s="97">
        <f ca="1">TblProd[[#This Row],[Lumber]]</f>
        <v>37754</v>
      </c>
      <c r="BL35" s="97">
        <f ca="1">TblProd[[#This Row],[Mana]]</f>
        <v>0</v>
      </c>
      <c r="BM35" s="97">
        <f ca="1">TblProd[[#This Row],[Ore]]</f>
        <v>0</v>
      </c>
    </row>
    <row r="36" spans="1:65" x14ac:dyDescent="0.2">
      <c r="A36" s="140">
        <v>33</v>
      </c>
      <c r="B36" s="155">
        <f ca="1">TblImps[[#This Row],[Time]]</f>
        <v>44872.333333333256</v>
      </c>
      <c r="C36" s="156"/>
      <c r="D36" s="157"/>
      <c r="E36" s="97">
        <f ca="1">TblConstr[[#This Row],[Land]]</f>
        <v>250</v>
      </c>
      <c r="F36" s="97">
        <f ca="1">TblPop[[#This Row],[Peasants]]</f>
        <v>2038</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276561</v>
      </c>
      <c r="I36" s="97">
        <f ca="1">OFFSET(TblProd[[#This Row],[Food]],-1,0)+OFFSET(TblProd[[#This Row],[Food/hr]],-1,0)+ROUNDUP((TblConstr[[#This Row],[Farms]]*80+TblConstr[[#This Row],[Docks]]*35)*(1+OFFSET(TblProd[[#This Row],[Bonus Food/hr]],-1,0)),0)</f>
        <v>67633</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5670</v>
      </c>
      <c r="T36" s="97">
        <f ca="1">ROUND(TblProd[[#This Row],[Raw Food/hr]]*(1+TblProd[[#This Row],[Bonus Food/hr]])-TblProd[[#This Row],[Food decay]]-TblProd[[#This Row],[Food eaten]],0)</f>
        <v>1319</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5670</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676.33</v>
      </c>
      <c r="AP36" s="97">
        <f ca="1">(1+race_food_consumption)*TblPop[[#This Row],[Total]]*food_per_person*(1+tech_1_10*TblTech[[#This Row],[1-10]]+tech_7_5*TblTech[[#This Row],[7-5]])</f>
        <v>584.5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f>
        <v>0</v>
      </c>
      <c r="BD36" s="161"/>
      <c r="BE36" s="161"/>
      <c r="BF36" s="161"/>
      <c r="BG36" s="162">
        <f ca="1">TblProd[[#This Row],[Time]]</f>
        <v>44872.333333333256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276561</v>
      </c>
      <c r="BJ36" s="97">
        <f ca="1">TblProd[[#This Row],[Food]]</f>
        <v>67633</v>
      </c>
      <c r="BK36" s="97">
        <f ca="1">TblProd[[#This Row],[Lumber]]</f>
        <v>38376</v>
      </c>
      <c r="BL36" s="97">
        <f ca="1">TblProd[[#This Row],[Mana]]</f>
        <v>0</v>
      </c>
      <c r="BM36" s="97">
        <f ca="1">TblProd[[#This Row],[Ore]]</f>
        <v>0</v>
      </c>
    </row>
    <row r="37" spans="1:65" x14ac:dyDescent="0.2">
      <c r="A37" s="140">
        <v>34</v>
      </c>
      <c r="B37" s="155">
        <f ca="1">TblImps[[#This Row],[Time]]</f>
        <v>44872.37499999992</v>
      </c>
      <c r="C37" s="156"/>
      <c r="D37" s="157"/>
      <c r="E37" s="97">
        <f ca="1">TblConstr[[#This Row],[Land]]</f>
        <v>250</v>
      </c>
      <c r="F37" s="97">
        <f ca="1">TblPop[[#This Row],[Peasants]]</f>
        <v>2038</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282231</v>
      </c>
      <c r="I37" s="97">
        <f ca="1">OFFSET(TblProd[[#This Row],[Food]],-1,0)+OFFSET(TblProd[[#This Row],[Food/hr]],-1,0)+ROUNDUP((TblConstr[[#This Row],[Farms]]*80+TblConstr[[#This Row],[Docks]]*35)*(1+OFFSET(TblProd[[#This Row],[Bonus Food/hr]],-1,0)),0)</f>
        <v>68952</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5670</v>
      </c>
      <c r="T37" s="97">
        <f ca="1">ROUND(TblProd[[#This Row],[Raw Food/hr]]*(1+TblProd[[#This Row],[Bonus Food/hr]])-TblProd[[#This Row],[Food decay]]-TblProd[[#This Row],[Food eaten]],0)</f>
        <v>1306</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5670</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689.52</v>
      </c>
      <c r="AP37" s="97">
        <f ca="1">(1+race_food_consumption)*TblPop[[#This Row],[Total]]*food_per_person*(1+tech_1_10*TblTech[[#This Row],[1-10]]+tech_7_5*TblTech[[#This Row],[7-5]])</f>
        <v>584.5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f>
        <v>0</v>
      </c>
      <c r="BD37" s="161"/>
      <c r="BE37" s="161"/>
      <c r="BF37" s="161"/>
      <c r="BG37" s="162">
        <f ca="1">TblProd[[#This Row],[Time]]</f>
        <v>44872.37499999992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282231</v>
      </c>
      <c r="BJ37" s="97">
        <f ca="1">TblProd[[#This Row],[Food]]</f>
        <v>68952</v>
      </c>
      <c r="BK37" s="97">
        <f ca="1">TblProd[[#This Row],[Lumber]]</f>
        <v>38992</v>
      </c>
      <c r="BL37" s="97">
        <f ca="1">TblProd[[#This Row],[Mana]]</f>
        <v>0</v>
      </c>
      <c r="BM37" s="97">
        <f ca="1">TblProd[[#This Row],[Ore]]</f>
        <v>0</v>
      </c>
    </row>
    <row r="38" spans="1:65" x14ac:dyDescent="0.2">
      <c r="A38" s="140">
        <v>35</v>
      </c>
      <c r="B38" s="155">
        <f ca="1">TblImps[[#This Row],[Time]]</f>
        <v>44872.416666666584</v>
      </c>
      <c r="C38" s="156"/>
      <c r="D38" s="157"/>
      <c r="E38" s="97">
        <f ca="1">TblConstr[[#This Row],[Land]]</f>
        <v>250</v>
      </c>
      <c r="F38" s="97">
        <f ca="1">TblPop[[#This Row],[Peasants]]</f>
        <v>2038</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287901</v>
      </c>
      <c r="I38" s="97">
        <f ca="1">OFFSET(TblProd[[#This Row],[Food]],-1,0)+OFFSET(TblProd[[#This Row],[Food/hr]],-1,0)+ROUNDUP((TblConstr[[#This Row],[Farms]]*80+TblConstr[[#This Row],[Docks]]*35)*(1+OFFSET(TblProd[[#This Row],[Bonus Food/hr]],-1,0)),0)</f>
        <v>70258</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5670</v>
      </c>
      <c r="T38" s="97">
        <f ca="1">ROUND(TblProd[[#This Row],[Raw Food/hr]]*(1+TblProd[[#This Row],[Bonus Food/hr]])-TblProd[[#This Row],[Food decay]]-TblProd[[#This Row],[Food eaten]],0)</f>
        <v>1293</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5670</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702.58</v>
      </c>
      <c r="AP38" s="97">
        <f ca="1">(1+race_food_consumption)*TblPop[[#This Row],[Total]]*food_per_person*(1+tech_1_10*TblTech[[#This Row],[1-10]]+tech_7_5*TblTech[[#This Row],[7-5]])</f>
        <v>584.5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f>
        <v>0</v>
      </c>
      <c r="BD38" s="161"/>
      <c r="BE38" s="161"/>
      <c r="BF38" s="161"/>
      <c r="BG38" s="162">
        <f ca="1">TblProd[[#This Row],[Time]]</f>
        <v>44872.416666666584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287901</v>
      </c>
      <c r="BJ38" s="97">
        <f ca="1">TblProd[[#This Row],[Food]]</f>
        <v>70258</v>
      </c>
      <c r="BK38" s="97">
        <f ca="1">TblProd[[#This Row],[Lumber]]</f>
        <v>39602</v>
      </c>
      <c r="BL38" s="97">
        <f ca="1">TblProd[[#This Row],[Mana]]</f>
        <v>0</v>
      </c>
      <c r="BM38" s="97">
        <f ca="1">TblProd[[#This Row],[Ore]]</f>
        <v>0</v>
      </c>
    </row>
    <row r="39" spans="1:65" x14ac:dyDescent="0.2">
      <c r="A39" s="140">
        <v>36</v>
      </c>
      <c r="B39" s="155">
        <f ca="1">TblImps[[#This Row],[Time]]</f>
        <v>44872.458333333248</v>
      </c>
      <c r="C39" s="156"/>
      <c r="D39" s="157"/>
      <c r="E39" s="97">
        <f ca="1">TblConstr[[#This Row],[Land]]</f>
        <v>250</v>
      </c>
      <c r="F39" s="97">
        <f ca="1">TblPop[[#This Row],[Peasants]]</f>
        <v>2038</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293571</v>
      </c>
      <c r="I39" s="97">
        <f ca="1">OFFSET(TblProd[[#This Row],[Food]],-1,0)+OFFSET(TblProd[[#This Row],[Food/hr]],-1,0)+ROUNDUP((TblConstr[[#This Row],[Farms]]*80+TblConstr[[#This Row],[Docks]]*35)*(1+OFFSET(TblProd[[#This Row],[Bonus Food/hr]],-1,0)),0)</f>
        <v>71551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5670</v>
      </c>
      <c r="T39" s="97">
        <f ca="1">ROUND(TblProd[[#This Row],[Raw Food/hr]]*(1+TblProd[[#This Row],[Bonus Food/hr]])-TblProd[[#This Row],[Food decay]]-TblProd[[#This Row],[Food eaten]],0)</f>
        <v>1280</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5670</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715.51</v>
      </c>
      <c r="AP39" s="97">
        <f ca="1">(1+race_food_consumption)*TblPop[[#This Row],[Total]]*food_per_person*(1+tech_1_10*TblTech[[#This Row],[1-10]]+tech_7_5*TblTech[[#This Row],[7-5]])</f>
        <v>584.5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f>
        <v>0</v>
      </c>
      <c r="BD39" s="161"/>
      <c r="BE39" s="161"/>
      <c r="BF39" s="161"/>
      <c r="BG39" s="162">
        <f ca="1">TblProd[[#This Row],[Time]]</f>
        <v>44872.458333333248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293571</v>
      </c>
      <c r="BJ39" s="97">
        <f ca="1">TblProd[[#This Row],[Food]]</f>
        <v>71551</v>
      </c>
      <c r="BK39" s="97">
        <f ca="1">TblProd[[#This Row],[Lumber]]</f>
        <v>40206</v>
      </c>
      <c r="BL39" s="97">
        <f ca="1">TblProd[[#This Row],[Mana]]</f>
        <v>0</v>
      </c>
      <c r="BM39" s="97">
        <f ca="1">TblProd[[#This Row],[Ore]]</f>
        <v>0</v>
      </c>
    </row>
    <row r="40" spans="1:65" x14ac:dyDescent="0.2">
      <c r="A40" s="140">
        <v>37</v>
      </c>
      <c r="B40" s="155">
        <f ca="1">TblImps[[#This Row],[Time]]</f>
        <v>44872.499999999913</v>
      </c>
      <c r="C40" s="156"/>
      <c r="D40" s="157"/>
      <c r="E40" s="97">
        <f ca="1">TblConstr[[#This Row],[Land]]</f>
        <v>250</v>
      </c>
      <c r="F40" s="97">
        <f ca="1">TblPop[[#This Row],[Peasants]]</f>
        <v>2038</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299241</v>
      </c>
      <c r="I40" s="97">
        <f ca="1">OFFSET(TblProd[[#This Row],[Food]],-1,0)+OFFSET(TblProd[[#This Row],[Food/hr]],-1,0)+ROUNDUP((TblConstr[[#This Row],[Farms]]*80+TblConstr[[#This Row],[Docks]]*35)*(1+OFFSET(TblProd[[#This Row],[Bonus Food/hr]],-1,0)),0)</f>
        <v>72831</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5670</v>
      </c>
      <c r="T40" s="97">
        <f ca="1">ROUND(TblProd[[#This Row],[Raw Food/hr]]*(1+TblProd[[#This Row],[Bonus Food/hr]])-TblProd[[#This Row],[Food decay]]-TblProd[[#This Row],[Food eaten]],0)</f>
        <v>1267</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5670</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728.31000000000006</v>
      </c>
      <c r="AP40" s="97">
        <f ca="1">(1+race_food_consumption)*TblPop[[#This Row],[Total]]*food_per_person*(1+tech_1_10*TblTech[[#This Row],[1-10]]+tech_7_5*TblTech[[#This Row],[7-5]])</f>
        <v>584.5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f>
        <v>0</v>
      </c>
      <c r="BD40" s="161"/>
      <c r="BE40" s="161"/>
      <c r="BF40" s="161"/>
      <c r="BG40" s="162">
        <f ca="1">TblProd[[#This Row],[Time]]</f>
        <v>44872.499999999913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299241</v>
      </c>
      <c r="BJ40" s="97">
        <f ca="1">TblProd[[#This Row],[Food]]</f>
        <v>72831</v>
      </c>
      <c r="BK40" s="97">
        <f ca="1">TblProd[[#This Row],[Lumber]]</f>
        <v>40804</v>
      </c>
      <c r="BL40" s="97">
        <f ca="1">TblProd[[#This Row],[Mana]]</f>
        <v>0</v>
      </c>
      <c r="BM40" s="97">
        <f ca="1">TblProd[[#This Row],[Ore]]</f>
        <v>0</v>
      </c>
    </row>
    <row r="41" spans="1:65" x14ac:dyDescent="0.2">
      <c r="A41" s="140">
        <v>38</v>
      </c>
      <c r="B41" s="155">
        <f ca="1">TblImps[[#This Row],[Time]]</f>
        <v>44872.541666666577</v>
      </c>
      <c r="C41" s="156"/>
      <c r="D41" s="157"/>
      <c r="E41" s="97">
        <f ca="1">TblConstr[[#This Row],[Land]]</f>
        <v>250</v>
      </c>
      <c r="F41" s="97">
        <f ca="1">TblPop[[#This Row],[Peasants]]</f>
        <v>2038</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304911</v>
      </c>
      <c r="I41" s="97">
        <f ca="1">OFFSET(TblProd[[#This Row],[Food]],-1,0)+OFFSET(TblProd[[#This Row],[Food/hr]],-1,0)+ROUNDUP((TblConstr[[#This Row],[Farms]]*80+TblConstr[[#This Row],[Docks]]*35)*(1+OFFSET(TblProd[[#This Row],[Bonus Food/hr]],-1,0)),0)</f>
        <v>74098</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5670</v>
      </c>
      <c r="T41" s="97">
        <f ca="1">ROUND(TblProd[[#This Row],[Raw Food/hr]]*(1+TblProd[[#This Row],[Bonus Food/hr]])-TblProd[[#This Row],[Food decay]]-TblProd[[#This Row],[Food eaten]],0)</f>
        <v>1255</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5670</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740.98</v>
      </c>
      <c r="AP41" s="97">
        <f ca="1">(1+race_food_consumption)*TblPop[[#This Row],[Total]]*food_per_person*(1+tech_1_10*TblTech[[#This Row],[1-10]]+tech_7_5*TblTech[[#This Row],[7-5]])</f>
        <v>584.5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f>
        <v>0</v>
      </c>
      <c r="BD41" s="161"/>
      <c r="BE41" s="161"/>
      <c r="BF41" s="161"/>
      <c r="BG41" s="162">
        <f ca="1">TblProd[[#This Row],[Time]]</f>
        <v>44872.541666666577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304911</v>
      </c>
      <c r="BJ41" s="97">
        <f ca="1">TblProd[[#This Row],[Food]]</f>
        <v>74098</v>
      </c>
      <c r="BK41" s="97">
        <f ca="1">TblProd[[#This Row],[Lumber]]</f>
        <v>41396</v>
      </c>
      <c r="BL41" s="97">
        <f ca="1">TblProd[[#This Row],[Mana]]</f>
        <v>0</v>
      </c>
      <c r="BM41" s="97">
        <f ca="1">TblProd[[#This Row],[Ore]]</f>
        <v>0</v>
      </c>
    </row>
    <row r="42" spans="1:65" x14ac:dyDescent="0.2">
      <c r="A42" s="140">
        <v>39</v>
      </c>
      <c r="B42" s="155">
        <f ca="1">TblImps[[#This Row],[Time]]</f>
        <v>44872.583333333241</v>
      </c>
      <c r="C42" s="156"/>
      <c r="D42" s="157"/>
      <c r="E42" s="97">
        <f ca="1">TblConstr[[#This Row],[Land]]</f>
        <v>250</v>
      </c>
      <c r="F42" s="97">
        <f ca="1">TblPop[[#This Row],[Peasants]]</f>
        <v>2038</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310581</v>
      </c>
      <c r="I42" s="97">
        <f ca="1">OFFSET(TblProd[[#This Row],[Food]],-1,0)+OFFSET(TblProd[[#This Row],[Food/hr]],-1,0)+ROUNDUP((TblConstr[[#This Row],[Farms]]*80+TblConstr[[#This Row],[Docks]]*35)*(1+OFFSET(TblProd[[#This Row],[Bonus Food/hr]],-1,0)),0)</f>
        <v>75353</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5670</v>
      </c>
      <c r="T42" s="97">
        <f ca="1">ROUND(TblProd[[#This Row],[Raw Food/hr]]*(1+TblProd[[#This Row],[Bonus Food/hr]])-TblProd[[#This Row],[Food decay]]-TblProd[[#This Row],[Food eaten]],0)</f>
        <v>1242</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5670</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753.53</v>
      </c>
      <c r="AP42" s="97">
        <f ca="1">(1+race_food_consumption)*TblPop[[#This Row],[Total]]*food_per_person*(1+tech_1_10*TblTech[[#This Row],[1-10]]+tech_7_5*TblTech[[#This Row],[7-5]])</f>
        <v>584.5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f>
        <v>0</v>
      </c>
      <c r="BD42" s="161"/>
      <c r="BE42" s="161"/>
      <c r="BF42" s="161"/>
      <c r="BG42" s="162">
        <f ca="1">TblProd[[#This Row],[Time]]</f>
        <v>44872.583333333241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310581</v>
      </c>
      <c r="BJ42" s="97">
        <f ca="1">TblProd[[#This Row],[Food]]</f>
        <v>75353</v>
      </c>
      <c r="BK42" s="97">
        <f ca="1">TblProd[[#This Row],[Lumber]]</f>
        <v>41982</v>
      </c>
      <c r="BL42" s="97">
        <f ca="1">TblProd[[#This Row],[Mana]]</f>
        <v>0</v>
      </c>
      <c r="BM42" s="97">
        <f ca="1">TblProd[[#This Row],[Ore]]</f>
        <v>0</v>
      </c>
    </row>
    <row r="43" spans="1:65" x14ac:dyDescent="0.2">
      <c r="A43" s="140">
        <v>40</v>
      </c>
      <c r="B43" s="155">
        <f ca="1">TblImps[[#This Row],[Time]]</f>
        <v>44872.624999999905</v>
      </c>
      <c r="C43" s="156"/>
      <c r="D43" s="157"/>
      <c r="E43" s="97">
        <f ca="1">TblConstr[[#This Row],[Land]]</f>
        <v>250</v>
      </c>
      <c r="F43" s="97">
        <f ca="1">TblPop[[#This Row],[Peasants]]</f>
        <v>2038</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316251</v>
      </c>
      <c r="I43" s="97">
        <f ca="1">OFFSET(TblProd[[#This Row],[Food]],-1,0)+OFFSET(TblProd[[#This Row],[Food/hr]],-1,0)+ROUNDUP((TblConstr[[#This Row],[Farms]]*80+TblConstr[[#This Row],[Docks]]*35)*(1+OFFSET(TblProd[[#This Row],[Bonus Food/hr]],-1,0)),0)</f>
        <v>76595</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5670</v>
      </c>
      <c r="T43" s="97">
        <f ca="1">ROUND(TblProd[[#This Row],[Raw Food/hr]]*(1+TblProd[[#This Row],[Bonus Food/hr]])-TblProd[[#This Row],[Food decay]]-TblProd[[#This Row],[Food eaten]],0)</f>
        <v>1230</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5670</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765.95</v>
      </c>
      <c r="AP43" s="97">
        <f ca="1">(1+race_food_consumption)*TblPop[[#This Row],[Total]]*food_per_person*(1+tech_1_10*TblTech[[#This Row],[1-10]]+tech_7_5*TblTech[[#This Row],[7-5]])</f>
        <v>584.5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f>
        <v>0</v>
      </c>
      <c r="BD43" s="161"/>
      <c r="BE43" s="161"/>
      <c r="BF43" s="161"/>
      <c r="BG43" s="162">
        <f ca="1">TblProd[[#This Row],[Time]]</f>
        <v>44872.624999999905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316251</v>
      </c>
      <c r="BJ43" s="97">
        <f ca="1">TblProd[[#This Row],[Food]]</f>
        <v>76595</v>
      </c>
      <c r="BK43" s="97">
        <f ca="1">TblProd[[#This Row],[Lumber]]</f>
        <v>42562</v>
      </c>
      <c r="BL43" s="97">
        <f ca="1">TblProd[[#This Row],[Mana]]</f>
        <v>0</v>
      </c>
      <c r="BM43" s="97">
        <f ca="1">TblProd[[#This Row],[Ore]]</f>
        <v>0</v>
      </c>
    </row>
    <row r="44" spans="1:65" x14ac:dyDescent="0.2">
      <c r="A44" s="140">
        <v>41</v>
      </c>
      <c r="B44" s="155">
        <f ca="1">TblImps[[#This Row],[Time]]</f>
        <v>44872.66666666657</v>
      </c>
      <c r="C44" s="156"/>
      <c r="D44" s="157"/>
      <c r="E44" s="97">
        <f ca="1">TblConstr[[#This Row],[Land]]</f>
        <v>250</v>
      </c>
      <c r="F44" s="97">
        <f ca="1">TblPop[[#This Row],[Peasants]]</f>
        <v>2038</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321921</v>
      </c>
      <c r="I44" s="97">
        <f ca="1">OFFSET(TblProd[[#This Row],[Food]],-1,0)+OFFSET(TblProd[[#This Row],[Food/hr]],-1,0)+ROUNDUP((TblConstr[[#This Row],[Farms]]*80+TblConstr[[#This Row],[Docks]]*35)*(1+OFFSET(TblProd[[#This Row],[Bonus Food/hr]],-1,0)),0)</f>
        <v>77825</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5670</v>
      </c>
      <c r="T44" s="97">
        <f ca="1">ROUND(TblProd[[#This Row],[Raw Food/hr]]*(1+TblProd[[#This Row],[Bonus Food/hr]])-TblProd[[#This Row],[Food decay]]-TblProd[[#This Row],[Food eaten]],0)</f>
        <v>1217</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5670</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778.25</v>
      </c>
      <c r="AP44" s="97">
        <f ca="1">(1+race_food_consumption)*TblPop[[#This Row],[Total]]*food_per_person*(1+tech_1_10*TblTech[[#This Row],[1-10]]+tech_7_5*TblTech[[#This Row],[7-5]])</f>
        <v>584.5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f>
        <v>0</v>
      </c>
      <c r="BD44" s="161"/>
      <c r="BE44" s="161"/>
      <c r="BF44" s="161"/>
      <c r="BG44" s="162">
        <f ca="1">TblProd[[#This Row],[Time]]</f>
        <v>44872.66666666657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321921</v>
      </c>
      <c r="BJ44" s="97">
        <f ca="1">TblProd[[#This Row],[Food]]</f>
        <v>77825</v>
      </c>
      <c r="BK44" s="97">
        <f ca="1">TblProd[[#This Row],[Lumber]]</f>
        <v>43136</v>
      </c>
      <c r="BL44" s="97">
        <f ca="1">TblProd[[#This Row],[Mana]]</f>
        <v>0</v>
      </c>
      <c r="BM44" s="97">
        <f ca="1">TblProd[[#This Row],[Ore]]</f>
        <v>0</v>
      </c>
    </row>
    <row r="45" spans="1:65" x14ac:dyDescent="0.2">
      <c r="A45" s="140">
        <v>42</v>
      </c>
      <c r="B45" s="155">
        <f ca="1">TblImps[[#This Row],[Time]]</f>
        <v>44872.708333333234</v>
      </c>
      <c r="C45" s="156"/>
      <c r="D45" s="157"/>
      <c r="E45" s="97">
        <f ca="1">TblConstr[[#This Row],[Land]]</f>
        <v>250</v>
      </c>
      <c r="F45" s="97">
        <f ca="1">TblPop[[#This Row],[Peasants]]</f>
        <v>2038</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327591</v>
      </c>
      <c r="I45" s="97">
        <f ca="1">OFFSET(TblProd[[#This Row],[Food]],-1,0)+OFFSET(TblProd[[#This Row],[Food/hr]],-1,0)+ROUNDUP((TblConstr[[#This Row],[Farms]]*80+TblConstr[[#This Row],[Docks]]*35)*(1+OFFSET(TblProd[[#This Row],[Bonus Food/hr]],-1,0)),0)</f>
        <v>79042</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5670</v>
      </c>
      <c r="T45" s="97">
        <f ca="1">ROUND(TblProd[[#This Row],[Raw Food/hr]]*(1+TblProd[[#This Row],[Bonus Food/hr]])-TblProd[[#This Row],[Food decay]]-TblProd[[#This Row],[Food eaten]],0)</f>
        <v>1205</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5670</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790.42000000000007</v>
      </c>
      <c r="AP45" s="97">
        <f ca="1">(1+race_food_consumption)*TblPop[[#This Row],[Total]]*food_per_person*(1+tech_1_10*TblTech[[#This Row],[1-10]]+tech_7_5*TblTech[[#This Row],[7-5]])</f>
        <v>584.5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f>
        <v>0</v>
      </c>
      <c r="BD45" s="161"/>
      <c r="BE45" s="161"/>
      <c r="BF45" s="161"/>
      <c r="BG45" s="162">
        <f ca="1">TblProd[[#This Row],[Time]]</f>
        <v>44872.708333333234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327591</v>
      </c>
      <c r="BJ45" s="97">
        <f ca="1">TblProd[[#This Row],[Food]]</f>
        <v>79042</v>
      </c>
      <c r="BK45" s="97">
        <f ca="1">TblProd[[#This Row],[Lumber]]</f>
        <v>43705</v>
      </c>
      <c r="BL45" s="97">
        <f ca="1">TblProd[[#This Row],[Mana]]</f>
        <v>0</v>
      </c>
      <c r="BM45" s="97">
        <f ca="1">TblProd[[#This Row],[Ore]]</f>
        <v>0</v>
      </c>
    </row>
    <row r="46" spans="1:65" x14ac:dyDescent="0.2">
      <c r="A46" s="140">
        <v>43</v>
      </c>
      <c r="B46" s="155">
        <f ca="1">TblImps[[#This Row],[Time]]</f>
        <v>44872.749999999898</v>
      </c>
      <c r="C46" s="156"/>
      <c r="D46" s="157"/>
      <c r="E46" s="97">
        <f ca="1">TblConstr[[#This Row],[Land]]</f>
        <v>250</v>
      </c>
      <c r="F46" s="97">
        <f ca="1">TblPop[[#This Row],[Peasants]]</f>
        <v>2038</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333261</v>
      </c>
      <c r="I46" s="97">
        <f ca="1">OFFSET(TblProd[[#This Row],[Food]],-1,0)+OFFSET(TblProd[[#This Row],[Food/hr]],-1,0)+ROUNDUP((TblConstr[[#This Row],[Farms]]*80+TblConstr[[#This Row],[Docks]]*35)*(1+OFFSET(TblProd[[#This Row],[Bonus Food/hr]],-1,0)),0)</f>
        <v>80247</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5670</v>
      </c>
      <c r="T46" s="97">
        <f ca="1">ROUND(TblProd[[#This Row],[Raw Food/hr]]*(1+TblProd[[#This Row],[Bonus Food/hr]])-TblProd[[#This Row],[Food decay]]-TblProd[[#This Row],[Food eaten]],0)</f>
        <v>1193</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5670</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802.47</v>
      </c>
      <c r="AP46" s="97">
        <f ca="1">(1+race_food_consumption)*TblPop[[#This Row],[Total]]*food_per_person*(1+tech_1_10*TblTech[[#This Row],[1-10]]+tech_7_5*TblTech[[#This Row],[7-5]])</f>
        <v>584.5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f>
        <v>0</v>
      </c>
      <c r="BD46" s="161"/>
      <c r="BE46" s="161"/>
      <c r="BF46" s="161"/>
      <c r="BG46" s="162">
        <f ca="1">TblProd[[#This Row],[Time]]</f>
        <v>44872.749999999898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333261</v>
      </c>
      <c r="BJ46" s="97">
        <f ca="1">TblProd[[#This Row],[Food]]</f>
        <v>80247</v>
      </c>
      <c r="BK46" s="97">
        <f ca="1">TblProd[[#This Row],[Lumber]]</f>
        <v>44268</v>
      </c>
      <c r="BL46" s="97">
        <f ca="1">TblProd[[#This Row],[Mana]]</f>
        <v>0</v>
      </c>
      <c r="BM46" s="97">
        <f ca="1">TblProd[[#This Row],[Ore]]</f>
        <v>0</v>
      </c>
    </row>
    <row r="47" spans="1:65" x14ac:dyDescent="0.2">
      <c r="A47" s="140">
        <v>44</v>
      </c>
      <c r="B47" s="155">
        <f ca="1">TblImps[[#This Row],[Time]]</f>
        <v>44872.791666666562</v>
      </c>
      <c r="C47" s="156"/>
      <c r="D47" s="157"/>
      <c r="E47" s="97">
        <f ca="1">TblConstr[[#This Row],[Land]]</f>
        <v>250</v>
      </c>
      <c r="F47" s="97">
        <f ca="1">TblPop[[#This Row],[Peasants]]</f>
        <v>2038</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338931</v>
      </c>
      <c r="I47" s="97">
        <f ca="1">OFFSET(TblProd[[#This Row],[Food]],-1,0)+OFFSET(TblProd[[#This Row],[Food/hr]],-1,0)+ROUNDUP((TblConstr[[#This Row],[Farms]]*80+TblConstr[[#This Row],[Docks]]*35)*(1+OFFSET(TblProd[[#This Row],[Bonus Food/hr]],-1,0)),0)</f>
        <v>81440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5670</v>
      </c>
      <c r="T47" s="97">
        <f ca="1">ROUND(TblProd[[#This Row],[Raw Food/hr]]*(1+TblProd[[#This Row],[Bonus Food/hr]])-TblProd[[#This Row],[Food decay]]-TblProd[[#This Row],[Food eaten]],0)</f>
        <v>1181</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5670</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814.4</v>
      </c>
      <c r="AP47" s="97">
        <f ca="1">(1+race_food_consumption)*TblPop[[#This Row],[Total]]*food_per_person*(1+tech_1_10*TblTech[[#This Row],[1-10]]+tech_7_5*TblTech[[#This Row],[7-5]])</f>
        <v>584.5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f>
        <v>0</v>
      </c>
      <c r="BD47" s="161"/>
      <c r="BE47" s="161"/>
      <c r="BF47" s="161"/>
      <c r="BG47" s="162">
        <f ca="1">TblProd[[#This Row],[Time]]</f>
        <v>44872.791666666562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338931</v>
      </c>
      <c r="BJ47" s="97">
        <f ca="1">TblProd[[#This Row],[Food]]</f>
        <v>81440</v>
      </c>
      <c r="BK47" s="97">
        <f ca="1">TblProd[[#This Row],[Lumber]]</f>
        <v>44825</v>
      </c>
      <c r="BL47" s="97">
        <f ca="1">TblProd[[#This Row],[Mana]]</f>
        <v>0</v>
      </c>
      <c r="BM47" s="97">
        <f ca="1">TblProd[[#This Row],[Ore]]</f>
        <v>0</v>
      </c>
    </row>
    <row r="48" spans="1:65" x14ac:dyDescent="0.2">
      <c r="A48" s="140">
        <v>45</v>
      </c>
      <c r="B48" s="155">
        <f ca="1">TblImps[[#This Row],[Time]]</f>
        <v>44872.833333333227</v>
      </c>
      <c r="C48" s="156"/>
      <c r="D48" s="157"/>
      <c r="E48" s="97">
        <f ca="1">TblConstr[[#This Row],[Land]]</f>
        <v>250</v>
      </c>
      <c r="F48" s="97">
        <f ca="1">TblPop[[#This Row],[Peasants]]</f>
        <v>2038</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344601</v>
      </c>
      <c r="I48" s="97">
        <f ca="1">OFFSET(TblProd[[#This Row],[Food]],-1,0)+OFFSET(TblProd[[#This Row],[Food/hr]],-1,0)+ROUNDUP((TblConstr[[#This Row],[Farms]]*80+TblConstr[[#This Row],[Docks]]*35)*(1+OFFSET(TblProd[[#This Row],[Bonus Food/hr]],-1,0)),0)</f>
        <v>82621</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5670</v>
      </c>
      <c r="T48" s="97">
        <f ca="1">ROUND(TblProd[[#This Row],[Raw Food/hr]]*(1+TblProd[[#This Row],[Bonus Food/hr]])-TblProd[[#This Row],[Food decay]]-TblProd[[#This Row],[Food eaten]],0)</f>
        <v>1169</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5670</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826.21</v>
      </c>
      <c r="AP48" s="97">
        <f ca="1">(1+race_food_consumption)*TblPop[[#This Row],[Total]]*food_per_person*(1+tech_1_10*TblTech[[#This Row],[1-10]]+tech_7_5*TblTech[[#This Row],[7-5]])</f>
        <v>584.5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f>
        <v>0</v>
      </c>
      <c r="BD48" s="161"/>
      <c r="BE48" s="161"/>
      <c r="BF48" s="161"/>
      <c r="BG48" s="162">
        <f ca="1">TblProd[[#This Row],[Time]]</f>
        <v>44872.833333333227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344601</v>
      </c>
      <c r="BJ48" s="97">
        <f ca="1">TblProd[[#This Row],[Food]]</f>
        <v>82621</v>
      </c>
      <c r="BK48" s="97">
        <f ca="1">TblProd[[#This Row],[Lumber]]</f>
        <v>45377</v>
      </c>
      <c r="BL48" s="97">
        <f ca="1">TblProd[[#This Row],[Mana]]</f>
        <v>0</v>
      </c>
      <c r="BM48" s="97">
        <f ca="1">TblProd[[#This Row],[Ore]]</f>
        <v>0</v>
      </c>
    </row>
    <row r="49" spans="1:65" x14ac:dyDescent="0.2">
      <c r="A49" s="140">
        <v>46</v>
      </c>
      <c r="B49" s="155">
        <f ca="1">TblImps[[#This Row],[Time]]</f>
        <v>44872.874999999891</v>
      </c>
      <c r="C49" s="156"/>
      <c r="D49" s="157"/>
      <c r="E49" s="97">
        <f ca="1">TblConstr[[#This Row],[Land]]</f>
        <v>250</v>
      </c>
      <c r="F49" s="97">
        <f ca="1">TblPop[[#This Row],[Peasants]]</f>
        <v>2038</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350271</v>
      </c>
      <c r="I49" s="97">
        <f ca="1">OFFSET(TblProd[[#This Row],[Food]],-1,0)+OFFSET(TblProd[[#This Row],[Food/hr]],-1,0)+ROUNDUP((TblConstr[[#This Row],[Farms]]*80+TblConstr[[#This Row],[Docks]]*35)*(1+OFFSET(TblProd[[#This Row],[Bonus Food/hr]],-1,0)),0)</f>
        <v>83790</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5670</v>
      </c>
      <c r="T49" s="97">
        <f ca="1">ROUND(TblProd[[#This Row],[Raw Food/hr]]*(1+TblProd[[#This Row],[Bonus Food/hr]])-TblProd[[#This Row],[Food decay]]-TblProd[[#This Row],[Food eaten]],0)</f>
        <v>1158</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5670</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837.9</v>
      </c>
      <c r="AP49" s="97">
        <f ca="1">(1+race_food_consumption)*TblPop[[#This Row],[Total]]*food_per_person*(1+tech_1_10*TblTech[[#This Row],[1-10]]+tech_7_5*TblTech[[#This Row],[7-5]])</f>
        <v>584.5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f>
        <v>0</v>
      </c>
      <c r="BD49" s="161"/>
      <c r="BE49" s="161"/>
      <c r="BF49" s="161"/>
      <c r="BG49" s="162">
        <f ca="1">TblProd[[#This Row],[Time]]</f>
        <v>44872.874999999891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350271</v>
      </c>
      <c r="BJ49" s="97">
        <f ca="1">TblProd[[#This Row],[Food]]</f>
        <v>83790</v>
      </c>
      <c r="BK49" s="97">
        <f ca="1">TblProd[[#This Row],[Lumber]]</f>
        <v>45923</v>
      </c>
      <c r="BL49" s="97">
        <f ca="1">TblProd[[#This Row],[Mana]]</f>
        <v>0</v>
      </c>
      <c r="BM49" s="97">
        <f ca="1">TblProd[[#This Row],[Ore]]</f>
        <v>0</v>
      </c>
    </row>
    <row r="50" spans="1:65" x14ac:dyDescent="0.2">
      <c r="A50" s="140">
        <v>47</v>
      </c>
      <c r="B50" s="155">
        <f ca="1">TblImps[[#This Row],[Time]]</f>
        <v>44872.916666666555</v>
      </c>
      <c r="C50" s="156"/>
      <c r="D50" s="157"/>
      <c r="E50" s="97">
        <f ca="1">TblConstr[[#This Row],[Land]]</f>
        <v>250</v>
      </c>
      <c r="F50" s="97">
        <f ca="1">TblPop[[#This Row],[Peasants]]</f>
        <v>2038</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355941</v>
      </c>
      <c r="I50" s="97">
        <f ca="1">OFFSET(TblProd[[#This Row],[Food]],-1,0)+OFFSET(TblProd[[#This Row],[Food/hr]],-1,0)+ROUNDUP((TblConstr[[#This Row],[Farms]]*80+TblConstr[[#This Row],[Docks]]*35)*(1+OFFSET(TblProd[[#This Row],[Bonus Food/hr]],-1,0)),0)</f>
        <v>84948</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5670</v>
      </c>
      <c r="T50" s="97">
        <f ca="1">ROUND(TblProd[[#This Row],[Raw Food/hr]]*(1+TblProd[[#This Row],[Bonus Food/hr]])-TblProd[[#This Row],[Food decay]]-TblProd[[#This Row],[Food eaten]],0)</f>
        <v>1146</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5670</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849.48</v>
      </c>
      <c r="AP50" s="97">
        <f ca="1">(1+race_food_consumption)*TblPop[[#This Row],[Total]]*food_per_person*(1+tech_1_10*TblTech[[#This Row],[1-10]]+tech_7_5*TblTech[[#This Row],[7-5]])</f>
        <v>584.5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f>
        <v>0</v>
      </c>
      <c r="BD50" s="161"/>
      <c r="BE50" s="161"/>
      <c r="BF50" s="161"/>
      <c r="BG50" s="162">
        <f ca="1">TblProd[[#This Row],[Time]]</f>
        <v>44872.916666666555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355941</v>
      </c>
      <c r="BJ50" s="97">
        <f ca="1">TblProd[[#This Row],[Food]]</f>
        <v>84948</v>
      </c>
      <c r="BK50" s="97">
        <f ca="1">TblProd[[#This Row],[Lumber]]</f>
        <v>46464</v>
      </c>
      <c r="BL50" s="97">
        <f ca="1">TblProd[[#This Row],[Mana]]</f>
        <v>0</v>
      </c>
      <c r="BM50" s="97">
        <f ca="1">TblProd[[#This Row],[Ore]]</f>
        <v>0</v>
      </c>
    </row>
    <row r="51" spans="1:65" x14ac:dyDescent="0.2">
      <c r="A51" s="140">
        <v>48</v>
      </c>
      <c r="B51" s="155">
        <f ca="1">TblImps[[#This Row],[Time]]</f>
        <v>44872.958333333219</v>
      </c>
      <c r="C51" s="156"/>
      <c r="D51" s="157"/>
      <c r="E51" s="97">
        <f ca="1">TblConstr[[#This Row],[Land]]</f>
        <v>250</v>
      </c>
      <c r="F51" s="97">
        <f ca="1">TblPop[[#This Row],[Peasants]]</f>
        <v>2038</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361611</v>
      </c>
      <c r="I51" s="97">
        <f ca="1">OFFSET(TblProd[[#This Row],[Food]],-1,0)+OFFSET(TblProd[[#This Row],[Food/hr]],-1,0)+ROUNDUP((TblConstr[[#This Row],[Farms]]*80+TblConstr[[#This Row],[Docks]]*35)*(1+OFFSET(TblProd[[#This Row],[Bonus Food/hr]],-1,0)),0)</f>
        <v>86094</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5670</v>
      </c>
      <c r="T51" s="97">
        <f ca="1">ROUND(TblProd[[#This Row],[Raw Food/hr]]*(1+TblProd[[#This Row],[Bonus Food/hr]])-TblProd[[#This Row],[Food decay]]-TblProd[[#This Row],[Food eaten]],0)</f>
        <v>1135</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5670</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860.94</v>
      </c>
      <c r="AP51" s="97">
        <f ca="1">(1+race_food_consumption)*TblPop[[#This Row],[Total]]*food_per_person*(1+tech_1_10*TblTech[[#This Row],[1-10]]+tech_7_5*TblTech[[#This Row],[7-5]])</f>
        <v>584.5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f>
        <v>0</v>
      </c>
      <c r="BD51" s="161"/>
      <c r="BE51" s="161"/>
      <c r="BF51" s="161"/>
      <c r="BG51" s="162">
        <f ca="1">TblProd[[#This Row],[Time]]</f>
        <v>44872.958333333219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361611</v>
      </c>
      <c r="BJ51" s="97">
        <f ca="1">TblProd[[#This Row],[Food]]</f>
        <v>86094</v>
      </c>
      <c r="BK51" s="97">
        <f ca="1">TblProd[[#This Row],[Lumber]]</f>
        <v>46999</v>
      </c>
      <c r="BL51" s="97">
        <f ca="1">TblProd[[#This Row],[Mana]]</f>
        <v>0</v>
      </c>
      <c r="BM51" s="97">
        <f ca="1">TblProd[[#This Row],[Ore]]</f>
        <v>0</v>
      </c>
    </row>
    <row r="52" spans="1:65" x14ac:dyDescent="0.2">
      <c r="A52" s="140">
        <v>49</v>
      </c>
      <c r="B52" s="155">
        <f ca="1">TblImps[[#This Row],[Time]]</f>
        <v>44872.999999999884</v>
      </c>
      <c r="C52" s="156"/>
      <c r="D52" s="157"/>
      <c r="E52" s="97">
        <f ca="1">TblConstr[[#This Row],[Land]]</f>
        <v>250</v>
      </c>
      <c r="F52" s="97">
        <f ca="1">TblPop[[#This Row],[Peasants]]</f>
        <v>2038</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367281</v>
      </c>
      <c r="I52" s="97">
        <f ca="1">OFFSET(TblProd[[#This Row],[Food]],-1,0)+OFFSET(TblProd[[#This Row],[Food/hr]],-1,0)+ROUNDUP((TblConstr[[#This Row],[Farms]]*80+TblConstr[[#This Row],[Docks]]*35)*(1+OFFSET(TblProd[[#This Row],[Bonus Food/hr]],-1,0)),0)</f>
        <v>87229</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5670</v>
      </c>
      <c r="T52" s="97">
        <f ca="1">ROUND(TblProd[[#This Row],[Raw Food/hr]]*(1+TblProd[[#This Row],[Bonus Food/hr]])-TblProd[[#This Row],[Food decay]]-TblProd[[#This Row],[Food eaten]],0)</f>
        <v>1123</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5670</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872.29</v>
      </c>
      <c r="AP52" s="97">
        <f ca="1">(1+race_food_consumption)*TblPop[[#This Row],[Total]]*food_per_person*(1+tech_1_10*TblTech[[#This Row],[1-10]]+tech_7_5*TblTech[[#This Row],[7-5]])</f>
        <v>584.5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f>
        <v>0</v>
      </c>
      <c r="BD52" s="161"/>
      <c r="BE52" s="161"/>
      <c r="BF52" s="161"/>
      <c r="BG52" s="162">
        <f ca="1">TblProd[[#This Row],[Time]]</f>
        <v>44872.999999999884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367281</v>
      </c>
      <c r="BJ52" s="97">
        <f ca="1">TblProd[[#This Row],[Food]]</f>
        <v>87229</v>
      </c>
      <c r="BK52" s="97">
        <f ca="1">TblProd[[#This Row],[Lumber]]</f>
        <v>47529</v>
      </c>
      <c r="BL52" s="97">
        <f ca="1">TblProd[[#This Row],[Mana]]</f>
        <v>0</v>
      </c>
      <c r="BM52" s="97">
        <f ca="1">TblProd[[#This Row],[Ore]]</f>
        <v>0</v>
      </c>
    </row>
    <row r="53" spans="1:65" x14ac:dyDescent="0.2">
      <c r="A53" s="140">
        <v>50</v>
      </c>
      <c r="B53" s="155">
        <f ca="1">TblImps[[#This Row],[Time]]</f>
        <v>44873.041666666548</v>
      </c>
      <c r="C53" s="156"/>
      <c r="D53" s="157"/>
      <c r="E53" s="97">
        <f ca="1">TblConstr[[#This Row],[Land]]</f>
        <v>250</v>
      </c>
      <c r="F53" s="97">
        <f ca="1">TblPop[[#This Row],[Peasants]]</f>
        <v>2038</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372951</v>
      </c>
      <c r="I53" s="97">
        <f ca="1">OFFSET(TblProd[[#This Row],[Food]],-1,0)+OFFSET(TblProd[[#This Row],[Food/hr]],-1,0)+ROUNDUP((TblConstr[[#This Row],[Farms]]*80+TblConstr[[#This Row],[Docks]]*35)*(1+OFFSET(TblProd[[#This Row],[Bonus Food/hr]],-1,0)),0)</f>
        <v>88352</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5670</v>
      </c>
      <c r="T53" s="97">
        <f ca="1">ROUND(TblProd[[#This Row],[Raw Food/hr]]*(1+TblProd[[#This Row],[Bonus Food/hr]])-TblProd[[#This Row],[Food decay]]-TblProd[[#This Row],[Food eaten]],0)</f>
        <v>1112</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5670</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883.52</v>
      </c>
      <c r="AP53" s="97">
        <f ca="1">(1+race_food_consumption)*TblPop[[#This Row],[Total]]*food_per_person*(1+tech_1_10*TblTech[[#This Row],[1-10]]+tech_7_5*TblTech[[#This Row],[7-5]])</f>
        <v>584.5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f>
        <v>0</v>
      </c>
      <c r="BD53" s="161"/>
      <c r="BE53" s="161"/>
      <c r="BF53" s="161"/>
      <c r="BG53" s="162">
        <f ca="1">TblProd[[#This Row],[Time]]</f>
        <v>44873.041666666548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372951</v>
      </c>
      <c r="BJ53" s="97">
        <f ca="1">TblProd[[#This Row],[Food]]</f>
        <v>88352</v>
      </c>
      <c r="BK53" s="97">
        <f ca="1">TblProd[[#This Row],[Lumber]]</f>
        <v>48054</v>
      </c>
      <c r="BL53" s="97">
        <f ca="1">TblProd[[#This Row],[Mana]]</f>
        <v>0</v>
      </c>
      <c r="BM53" s="97">
        <f ca="1">TblProd[[#This Row],[Ore]]</f>
        <v>0</v>
      </c>
    </row>
    <row r="54" spans="1:65" x14ac:dyDescent="0.2">
      <c r="A54" s="140">
        <v>51</v>
      </c>
      <c r="B54" s="155">
        <f ca="1">TblImps[[#This Row],[Time]]</f>
        <v>44873.083333333212</v>
      </c>
      <c r="C54" s="156"/>
      <c r="D54" s="157"/>
      <c r="E54" s="97">
        <f ca="1">TblConstr[[#This Row],[Land]]</f>
        <v>250</v>
      </c>
      <c r="F54" s="97">
        <f ca="1">TblPop[[#This Row],[Peasants]]</f>
        <v>2038</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378621</v>
      </c>
      <c r="I54" s="97">
        <f ca="1">OFFSET(TblProd[[#This Row],[Food]],-1,0)+OFFSET(TblProd[[#This Row],[Food/hr]],-1,0)+ROUNDUP((TblConstr[[#This Row],[Farms]]*80+TblConstr[[#This Row],[Docks]]*35)*(1+OFFSET(TblProd[[#This Row],[Bonus Food/hr]],-1,0)),0)</f>
        <v>89464</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5670</v>
      </c>
      <c r="T54" s="97">
        <f ca="1">ROUND(TblProd[[#This Row],[Raw Food/hr]]*(1+TblProd[[#This Row],[Bonus Food/hr]])-TblProd[[#This Row],[Food decay]]-TblProd[[#This Row],[Food eaten]],0)</f>
        <v>1101</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5670</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894.64</v>
      </c>
      <c r="AP54" s="97">
        <f ca="1">(1+race_food_consumption)*TblPop[[#This Row],[Total]]*food_per_person*(1+tech_1_10*TblTech[[#This Row],[1-10]]+tech_7_5*TblTech[[#This Row],[7-5]])</f>
        <v>584.5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f>
        <v>0</v>
      </c>
      <c r="BD54" s="161"/>
      <c r="BE54" s="161"/>
      <c r="BF54" s="161"/>
      <c r="BG54" s="162">
        <f ca="1">TblProd[[#This Row],[Time]]</f>
        <v>44873.083333333212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378621</v>
      </c>
      <c r="BJ54" s="97">
        <f ca="1">TblProd[[#This Row],[Food]]</f>
        <v>89464</v>
      </c>
      <c r="BK54" s="97">
        <f ca="1">TblProd[[#This Row],[Lumber]]</f>
        <v>48573</v>
      </c>
      <c r="BL54" s="97">
        <f ca="1">TblProd[[#This Row],[Mana]]</f>
        <v>0</v>
      </c>
      <c r="BM54" s="97">
        <f ca="1">TblProd[[#This Row],[Ore]]</f>
        <v>0</v>
      </c>
    </row>
    <row r="55" spans="1:65" x14ac:dyDescent="0.2">
      <c r="A55" s="140">
        <v>52</v>
      </c>
      <c r="B55" s="155">
        <f ca="1">TblImps[[#This Row],[Time]]</f>
        <v>44873.124999999876</v>
      </c>
      <c r="C55" s="156"/>
      <c r="D55" s="157"/>
      <c r="E55" s="97">
        <f ca="1">TblConstr[[#This Row],[Land]]</f>
        <v>250</v>
      </c>
      <c r="F55" s="97">
        <f ca="1">TblPop[[#This Row],[Peasants]]</f>
        <v>2038</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384291</v>
      </c>
      <c r="I55" s="97">
        <f ca="1">OFFSET(TblProd[[#This Row],[Food]],-1,0)+OFFSET(TblProd[[#This Row],[Food/hr]],-1,0)+ROUNDUP((TblConstr[[#This Row],[Farms]]*80+TblConstr[[#This Row],[Docks]]*35)*(1+OFFSET(TblProd[[#This Row],[Bonus Food/hr]],-1,0)),0)</f>
        <v>90565</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5670</v>
      </c>
      <c r="T55" s="97">
        <f ca="1">ROUND(TblProd[[#This Row],[Raw Food/hr]]*(1+TblProd[[#This Row],[Bonus Food/hr]])-TblProd[[#This Row],[Food decay]]-TblProd[[#This Row],[Food eaten]],0)</f>
        <v>1090</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5670</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905.65</v>
      </c>
      <c r="AP55" s="97">
        <f ca="1">(1+race_food_consumption)*TblPop[[#This Row],[Total]]*food_per_person*(1+tech_1_10*TblTech[[#This Row],[1-10]]+tech_7_5*TblTech[[#This Row],[7-5]])</f>
        <v>584.5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f>
        <v>0</v>
      </c>
      <c r="BD55" s="161"/>
      <c r="BE55" s="161"/>
      <c r="BF55" s="161"/>
      <c r="BG55" s="162">
        <f ca="1">TblProd[[#This Row],[Time]]</f>
        <v>44873.124999999876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384291</v>
      </c>
      <c r="BJ55" s="97">
        <f ca="1">TblProd[[#This Row],[Food]]</f>
        <v>90565</v>
      </c>
      <c r="BK55" s="97">
        <f ca="1">TblProd[[#This Row],[Lumber]]</f>
        <v>49087</v>
      </c>
      <c r="BL55" s="97">
        <f ca="1">TblProd[[#This Row],[Mana]]</f>
        <v>0</v>
      </c>
      <c r="BM55" s="97">
        <f ca="1">TblProd[[#This Row],[Ore]]</f>
        <v>0</v>
      </c>
    </row>
    <row r="56" spans="1:65" x14ac:dyDescent="0.2">
      <c r="A56" s="140">
        <v>53</v>
      </c>
      <c r="B56" s="155">
        <f ca="1">TblImps[[#This Row],[Time]]</f>
        <v>44873.166666666541</v>
      </c>
      <c r="C56" s="156"/>
      <c r="D56" s="157"/>
      <c r="E56" s="97">
        <f ca="1">TblConstr[[#This Row],[Land]]</f>
        <v>250</v>
      </c>
      <c r="F56" s="97">
        <f ca="1">TblPop[[#This Row],[Peasants]]</f>
        <v>2038</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389961</v>
      </c>
      <c r="I56" s="97">
        <f ca="1">OFFSET(TblProd[[#This Row],[Food]],-1,0)+OFFSET(TblProd[[#This Row],[Food/hr]],-1,0)+ROUNDUP((TblConstr[[#This Row],[Farms]]*80+TblConstr[[#This Row],[Docks]]*35)*(1+OFFSET(TblProd[[#This Row],[Bonus Food/hr]],-1,0)),0)</f>
        <v>91655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5670</v>
      </c>
      <c r="T56" s="97">
        <f ca="1">ROUND(TblProd[[#This Row],[Raw Food/hr]]*(1+TblProd[[#This Row],[Bonus Food/hr]])-TblProd[[#This Row],[Food decay]]-TblProd[[#This Row],[Food eaten]],0)</f>
        <v>1079</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5670</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916.55000000000007</v>
      </c>
      <c r="AP56" s="97">
        <f ca="1">(1+race_food_consumption)*TblPop[[#This Row],[Total]]*food_per_person*(1+tech_1_10*TblTech[[#This Row],[1-10]]+tech_7_5*TblTech[[#This Row],[7-5]])</f>
        <v>584.5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f>
        <v>0</v>
      </c>
      <c r="BD56" s="161"/>
      <c r="BE56" s="161"/>
      <c r="BF56" s="161"/>
      <c r="BG56" s="162">
        <f ca="1">TblProd[[#This Row],[Time]]</f>
        <v>44873.166666666541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389961</v>
      </c>
      <c r="BJ56" s="97">
        <f ca="1">TblProd[[#This Row],[Food]]</f>
        <v>91655</v>
      </c>
      <c r="BK56" s="97">
        <f ca="1">TblProd[[#This Row],[Lumber]]</f>
        <v>49596</v>
      </c>
      <c r="BL56" s="97">
        <f ca="1">TblProd[[#This Row],[Mana]]</f>
        <v>0</v>
      </c>
      <c r="BM56" s="97">
        <f ca="1">TblProd[[#This Row],[Ore]]</f>
        <v>0</v>
      </c>
    </row>
    <row r="57" spans="1:65" x14ac:dyDescent="0.2">
      <c r="A57" s="140">
        <v>54</v>
      </c>
      <c r="B57" s="155">
        <f ca="1">TblImps[[#This Row],[Time]]</f>
        <v>44873.208333333205</v>
      </c>
      <c r="C57" s="156"/>
      <c r="D57" s="157"/>
      <c r="E57" s="97">
        <f ca="1">TblConstr[[#This Row],[Land]]</f>
        <v>250</v>
      </c>
      <c r="F57" s="97">
        <f ca="1">TblPop[[#This Row],[Peasants]]</f>
        <v>2038</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395631</v>
      </c>
      <c r="I57" s="97">
        <f ca="1">OFFSET(TblProd[[#This Row],[Food]],-1,0)+OFFSET(TblProd[[#This Row],[Food/hr]],-1,0)+ROUNDUP((TblConstr[[#This Row],[Farms]]*80+TblConstr[[#This Row],[Docks]]*35)*(1+OFFSET(TblProd[[#This Row],[Bonus Food/hr]],-1,0)),0)</f>
        <v>92734</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5670</v>
      </c>
      <c r="T57" s="97">
        <f ca="1">ROUND(TblProd[[#This Row],[Raw Food/hr]]*(1+TblProd[[#This Row],[Bonus Food/hr]])-TblProd[[#This Row],[Food decay]]-TblProd[[#This Row],[Food eaten]],0)</f>
        <v>1068</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5670</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927.34</v>
      </c>
      <c r="AP57" s="97">
        <f ca="1">(1+race_food_consumption)*TblPop[[#This Row],[Total]]*food_per_person*(1+tech_1_10*TblTech[[#This Row],[1-10]]+tech_7_5*TblTech[[#This Row],[7-5]])</f>
        <v>584.5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f>
        <v>0</v>
      </c>
      <c r="BD57" s="161"/>
      <c r="BE57" s="161"/>
      <c r="BF57" s="161"/>
      <c r="BG57" s="162">
        <f ca="1">TblProd[[#This Row],[Time]]</f>
        <v>44873.208333333205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395631</v>
      </c>
      <c r="BJ57" s="97">
        <f ca="1">TblProd[[#This Row],[Food]]</f>
        <v>92734</v>
      </c>
      <c r="BK57" s="97">
        <f ca="1">TblProd[[#This Row],[Lumber]]</f>
        <v>50100</v>
      </c>
      <c r="BL57" s="97">
        <f ca="1">TblProd[[#This Row],[Mana]]</f>
        <v>0</v>
      </c>
      <c r="BM57" s="97">
        <f ca="1">TblProd[[#This Row],[Ore]]</f>
        <v>0</v>
      </c>
    </row>
    <row r="58" spans="1:65" x14ac:dyDescent="0.2">
      <c r="A58" s="140">
        <v>55</v>
      </c>
      <c r="B58" s="155">
        <f ca="1">TblImps[[#This Row],[Time]]</f>
        <v>44873.249999999869</v>
      </c>
      <c r="C58" s="156"/>
      <c r="D58" s="157"/>
      <c r="E58" s="97">
        <f ca="1">TblConstr[[#This Row],[Land]]</f>
        <v>250</v>
      </c>
      <c r="F58" s="97">
        <f ca="1">TblPop[[#This Row],[Peasants]]</f>
        <v>2038</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401301</v>
      </c>
      <c r="I58" s="97">
        <f ca="1">OFFSET(TblProd[[#This Row],[Food]],-1,0)+OFFSET(TblProd[[#This Row],[Food/hr]],-1,0)+ROUNDUP((TblConstr[[#This Row],[Farms]]*80+TblConstr[[#This Row],[Docks]]*35)*(1+OFFSET(TblProd[[#This Row],[Bonus Food/hr]],-1,0)),0)</f>
        <v>93802</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5670</v>
      </c>
      <c r="T58" s="97">
        <f ca="1">ROUND(TblProd[[#This Row],[Raw Food/hr]]*(1+TblProd[[#This Row],[Bonus Food/hr]])-TblProd[[#This Row],[Food decay]]-TblProd[[#This Row],[Food eaten]],0)</f>
        <v>1057</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5670</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938.02</v>
      </c>
      <c r="AP58" s="97">
        <f ca="1">(1+race_food_consumption)*TblPop[[#This Row],[Total]]*food_per_person*(1+tech_1_10*TblTech[[#This Row],[1-10]]+tech_7_5*TblTech[[#This Row],[7-5]])</f>
        <v>584.5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f>
        <v>0</v>
      </c>
      <c r="BD58" s="161"/>
      <c r="BE58" s="161"/>
      <c r="BF58" s="161"/>
      <c r="BG58" s="162">
        <f ca="1">TblProd[[#This Row],[Time]]</f>
        <v>44873.249999999869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401301</v>
      </c>
      <c r="BJ58" s="97">
        <f ca="1">TblProd[[#This Row],[Food]]</f>
        <v>93802</v>
      </c>
      <c r="BK58" s="97">
        <f ca="1">TblProd[[#This Row],[Lumber]]</f>
        <v>50599</v>
      </c>
      <c r="BL58" s="97">
        <f ca="1">TblProd[[#This Row],[Mana]]</f>
        <v>0</v>
      </c>
      <c r="BM58" s="97">
        <f ca="1">TblProd[[#This Row],[Ore]]</f>
        <v>0</v>
      </c>
    </row>
    <row r="59" spans="1:65" x14ac:dyDescent="0.2">
      <c r="A59" s="140">
        <v>56</v>
      </c>
      <c r="B59" s="155">
        <f ca="1">TblImps[[#This Row],[Time]]</f>
        <v>44873.291666666533</v>
      </c>
      <c r="C59" s="156"/>
      <c r="D59" s="157"/>
      <c r="E59" s="97">
        <f ca="1">TblConstr[[#This Row],[Land]]</f>
        <v>250</v>
      </c>
      <c r="F59" s="97">
        <f ca="1">TblPop[[#This Row],[Peasants]]</f>
        <v>2038</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406971</v>
      </c>
      <c r="I59" s="97">
        <f ca="1">OFFSET(TblProd[[#This Row],[Food]],-1,0)+OFFSET(TblProd[[#This Row],[Food/hr]],-1,0)+ROUNDUP((TblConstr[[#This Row],[Farms]]*80+TblConstr[[#This Row],[Docks]]*35)*(1+OFFSET(TblProd[[#This Row],[Bonus Food/hr]],-1,0)),0)</f>
        <v>94859</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5670</v>
      </c>
      <c r="T59" s="97">
        <f ca="1">ROUND(TblProd[[#This Row],[Raw Food/hr]]*(1+TblProd[[#This Row],[Bonus Food/hr]])-TblProd[[#This Row],[Food decay]]-TblProd[[#This Row],[Food eaten]],0)</f>
        <v>1047</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5670</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948.59</v>
      </c>
      <c r="AP59" s="97">
        <f ca="1">(1+race_food_consumption)*TblPop[[#This Row],[Total]]*food_per_person*(1+tech_1_10*TblTech[[#This Row],[1-10]]+tech_7_5*TblTech[[#This Row],[7-5]])</f>
        <v>584.5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f>
        <v>0</v>
      </c>
      <c r="BD59" s="161"/>
      <c r="BE59" s="161"/>
      <c r="BF59" s="161"/>
      <c r="BG59" s="162">
        <f ca="1">TblProd[[#This Row],[Time]]</f>
        <v>44873.291666666533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406971</v>
      </c>
      <c r="BJ59" s="97">
        <f ca="1">TblProd[[#This Row],[Food]]</f>
        <v>94859</v>
      </c>
      <c r="BK59" s="97">
        <f ca="1">TblProd[[#This Row],[Lumber]]</f>
        <v>51093</v>
      </c>
      <c r="BL59" s="97">
        <f ca="1">TblProd[[#This Row],[Mana]]</f>
        <v>0</v>
      </c>
      <c r="BM59" s="97">
        <f ca="1">TblProd[[#This Row],[Ore]]</f>
        <v>0</v>
      </c>
    </row>
    <row r="60" spans="1:65" x14ac:dyDescent="0.2">
      <c r="A60" s="140">
        <v>57</v>
      </c>
      <c r="B60" s="155">
        <f ca="1">TblImps[[#This Row],[Time]]</f>
        <v>44873.333333333198</v>
      </c>
      <c r="C60" s="156"/>
      <c r="D60" s="157"/>
      <c r="E60" s="97">
        <f ca="1">TblConstr[[#This Row],[Land]]</f>
        <v>250</v>
      </c>
      <c r="F60" s="97">
        <f ca="1">TblPop[[#This Row],[Peasants]]</f>
        <v>2038</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412641</v>
      </c>
      <c r="I60" s="97">
        <f ca="1">OFFSET(TblProd[[#This Row],[Food]],-1,0)+OFFSET(TblProd[[#This Row],[Food/hr]],-1,0)+ROUNDUP((TblConstr[[#This Row],[Farms]]*80+TblConstr[[#This Row],[Docks]]*35)*(1+OFFSET(TblProd[[#This Row],[Bonus Food/hr]],-1,0)),0)</f>
        <v>95906</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5670</v>
      </c>
      <c r="T60" s="97">
        <f ca="1">ROUND(TblProd[[#This Row],[Raw Food/hr]]*(1+TblProd[[#This Row],[Bonus Food/hr]])-TblProd[[#This Row],[Food decay]]-TblProd[[#This Row],[Food eaten]],0)</f>
        <v>1036</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5670</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959.06000000000006</v>
      </c>
      <c r="AP60" s="97">
        <f ca="1">(1+race_food_consumption)*TblPop[[#This Row],[Total]]*food_per_person*(1+tech_1_10*TblTech[[#This Row],[1-10]]+tech_7_5*TblTech[[#This Row],[7-5]])</f>
        <v>584.5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f>
        <v>0</v>
      </c>
      <c r="BD60" s="161"/>
      <c r="BE60" s="161"/>
      <c r="BF60" s="161"/>
      <c r="BG60" s="162">
        <f ca="1">TblProd[[#This Row],[Time]]</f>
        <v>44873.333333333198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412641</v>
      </c>
      <c r="BJ60" s="97">
        <f ca="1">TblProd[[#This Row],[Food]]</f>
        <v>95906</v>
      </c>
      <c r="BK60" s="97">
        <f ca="1">TblProd[[#This Row],[Lumber]]</f>
        <v>51582</v>
      </c>
      <c r="BL60" s="97">
        <f ca="1">TblProd[[#This Row],[Mana]]</f>
        <v>0</v>
      </c>
      <c r="BM60" s="97">
        <f ca="1">TblProd[[#This Row],[Ore]]</f>
        <v>0</v>
      </c>
    </row>
    <row r="61" spans="1:65" x14ac:dyDescent="0.2">
      <c r="A61" s="140">
        <v>58</v>
      </c>
      <c r="B61" s="155">
        <f ca="1">TblImps[[#This Row],[Time]]</f>
        <v>44873.374999999862</v>
      </c>
      <c r="C61" s="156"/>
      <c r="D61" s="157"/>
      <c r="E61" s="97">
        <f ca="1">TblConstr[[#This Row],[Land]]</f>
        <v>250</v>
      </c>
      <c r="F61" s="97">
        <f ca="1">TblPop[[#This Row],[Peasants]]</f>
        <v>2038</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418311</v>
      </c>
      <c r="I61" s="97">
        <f ca="1">OFFSET(TblProd[[#This Row],[Food]],-1,0)+OFFSET(TblProd[[#This Row],[Food/hr]],-1,0)+ROUNDUP((TblConstr[[#This Row],[Farms]]*80+TblConstr[[#This Row],[Docks]]*35)*(1+OFFSET(TblProd[[#This Row],[Bonus Food/hr]],-1,0)),0)</f>
        <v>96942</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5670</v>
      </c>
      <c r="T61" s="97">
        <f ca="1">ROUND(TblProd[[#This Row],[Raw Food/hr]]*(1+TblProd[[#This Row],[Bonus Food/hr]])-TblProd[[#This Row],[Food decay]]-TblProd[[#This Row],[Food eaten]],0)</f>
        <v>1026</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5670</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969.42000000000007</v>
      </c>
      <c r="AP61" s="97">
        <f ca="1">(1+race_food_consumption)*TblPop[[#This Row],[Total]]*food_per_person*(1+tech_1_10*TblTech[[#This Row],[1-10]]+tech_7_5*TblTech[[#This Row],[7-5]])</f>
        <v>584.5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f>
        <v>0</v>
      </c>
      <c r="BD61" s="161"/>
      <c r="BE61" s="161"/>
      <c r="BF61" s="161"/>
      <c r="BG61" s="162">
        <f ca="1">TblProd[[#This Row],[Time]]</f>
        <v>44873.374999999862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418311</v>
      </c>
      <c r="BJ61" s="97">
        <f ca="1">TblProd[[#This Row],[Food]]</f>
        <v>96942</v>
      </c>
      <c r="BK61" s="97">
        <f ca="1">TblProd[[#This Row],[Lumber]]</f>
        <v>52066</v>
      </c>
      <c r="BL61" s="97">
        <f ca="1">TblProd[[#This Row],[Mana]]</f>
        <v>0</v>
      </c>
      <c r="BM61" s="97">
        <f ca="1">TblProd[[#This Row],[Ore]]</f>
        <v>0</v>
      </c>
    </row>
    <row r="62" spans="1:65" x14ac:dyDescent="0.2">
      <c r="A62" s="140">
        <v>59</v>
      </c>
      <c r="B62" s="155">
        <f ca="1">TblImps[[#This Row],[Time]]</f>
        <v>44873.416666666526</v>
      </c>
      <c r="C62" s="156"/>
      <c r="D62" s="157"/>
      <c r="E62" s="97">
        <f ca="1">TblConstr[[#This Row],[Land]]</f>
        <v>250</v>
      </c>
      <c r="F62" s="97">
        <f ca="1">TblPop[[#This Row],[Peasants]]</f>
        <v>2038</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423981</v>
      </c>
      <c r="I62" s="97">
        <f ca="1">OFFSET(TblProd[[#This Row],[Food]],-1,0)+OFFSET(TblProd[[#This Row],[Food/hr]],-1,0)+ROUNDUP((TblConstr[[#This Row],[Farms]]*80+TblConstr[[#This Row],[Docks]]*35)*(1+OFFSET(TblProd[[#This Row],[Bonus Food/hr]],-1,0)),0)</f>
        <v>97968</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5670</v>
      </c>
      <c r="T62" s="97">
        <f ca="1">ROUND(TblProd[[#This Row],[Raw Food/hr]]*(1+TblProd[[#This Row],[Bonus Food/hr]])-TblProd[[#This Row],[Food decay]]-TblProd[[#This Row],[Food eaten]],0)</f>
        <v>1016</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5670</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979.68000000000006</v>
      </c>
      <c r="AP62" s="97">
        <f ca="1">(1+race_food_consumption)*TblPop[[#This Row],[Total]]*food_per_person*(1+tech_1_10*TblTech[[#This Row],[1-10]]+tech_7_5*TblTech[[#This Row],[7-5]])</f>
        <v>584.5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f>
        <v>0</v>
      </c>
      <c r="BD62" s="161"/>
      <c r="BE62" s="161"/>
      <c r="BF62" s="161"/>
      <c r="BG62" s="162">
        <f ca="1">TblProd[[#This Row],[Time]]</f>
        <v>44873.416666666526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423981</v>
      </c>
      <c r="BJ62" s="97">
        <f ca="1">TblProd[[#This Row],[Food]]</f>
        <v>97968</v>
      </c>
      <c r="BK62" s="97">
        <f ca="1">TblProd[[#This Row],[Lumber]]</f>
        <v>52545</v>
      </c>
      <c r="BL62" s="97">
        <f ca="1">TblProd[[#This Row],[Mana]]</f>
        <v>0</v>
      </c>
      <c r="BM62" s="97">
        <f ca="1">TblProd[[#This Row],[Ore]]</f>
        <v>0</v>
      </c>
    </row>
    <row r="63" spans="1:65" x14ac:dyDescent="0.2">
      <c r="A63" s="140">
        <v>60</v>
      </c>
      <c r="B63" s="155">
        <f ca="1">TblImps[[#This Row],[Time]]</f>
        <v>44873.45833333319</v>
      </c>
      <c r="C63" s="156"/>
      <c r="D63" s="157"/>
      <c r="E63" s="97">
        <f ca="1">TblConstr[[#This Row],[Land]]</f>
        <v>250</v>
      </c>
      <c r="F63" s="97">
        <f ca="1">TblPop[[#This Row],[Peasants]]</f>
        <v>2038</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429651</v>
      </c>
      <c r="I63" s="97">
        <f ca="1">OFFSET(TblProd[[#This Row],[Food]],-1,0)+OFFSET(TblProd[[#This Row],[Food/hr]],-1,0)+ROUNDUP((TblConstr[[#This Row],[Farms]]*80+TblConstr[[#This Row],[Docks]]*35)*(1+OFFSET(TblProd[[#This Row],[Bonus Food/hr]],-1,0)),0)</f>
        <v>98984</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5670</v>
      </c>
      <c r="T63" s="97">
        <f ca="1">ROUND(TblProd[[#This Row],[Raw Food/hr]]*(1+TblProd[[#This Row],[Bonus Food/hr]])-TblProd[[#This Row],[Food decay]]-TblProd[[#This Row],[Food eaten]],0)</f>
        <v>1006</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5670</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989.84</v>
      </c>
      <c r="AP63" s="97">
        <f ca="1">(1+race_food_consumption)*TblPop[[#This Row],[Total]]*food_per_person*(1+tech_1_10*TblTech[[#This Row],[1-10]]+tech_7_5*TblTech[[#This Row],[7-5]])</f>
        <v>584.5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f>
        <v>0</v>
      </c>
      <c r="BD63" s="161"/>
      <c r="BE63" s="161"/>
      <c r="BF63" s="161"/>
      <c r="BG63" s="162">
        <f ca="1">TblProd[[#This Row],[Time]]</f>
        <v>44873.45833333319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429651</v>
      </c>
      <c r="BJ63" s="97">
        <f ca="1">TblProd[[#This Row],[Food]]</f>
        <v>98984</v>
      </c>
      <c r="BK63" s="97">
        <f ca="1">TblProd[[#This Row],[Lumber]]</f>
        <v>53020</v>
      </c>
      <c r="BL63" s="97">
        <f ca="1">TblProd[[#This Row],[Mana]]</f>
        <v>0</v>
      </c>
      <c r="BM63" s="97">
        <f ca="1">TblProd[[#This Row],[Ore]]</f>
        <v>0</v>
      </c>
    </row>
    <row r="64" spans="1:65" x14ac:dyDescent="0.2">
      <c r="A64" s="140">
        <v>61</v>
      </c>
      <c r="B64" s="155">
        <f ca="1">TblImps[[#This Row],[Time]]</f>
        <v>44873.499999999854</v>
      </c>
      <c r="C64" s="156"/>
      <c r="D64" s="157"/>
      <c r="E64" s="97">
        <f ca="1">TblConstr[[#This Row],[Land]]</f>
        <v>250</v>
      </c>
      <c r="F64" s="97">
        <f ca="1">TblPop[[#This Row],[Peasants]]</f>
        <v>2038</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435321</v>
      </c>
      <c r="I64" s="97">
        <f ca="1">OFFSET(TblProd[[#This Row],[Food]],-1,0)+OFFSET(TblProd[[#This Row],[Food/hr]],-1,0)+ROUNDUP((TblConstr[[#This Row],[Farms]]*80+TblConstr[[#This Row],[Docks]]*35)*(1+OFFSET(TblProd[[#This Row],[Bonus Food/hr]],-1,0)),0)</f>
        <v>99990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5670</v>
      </c>
      <c r="T64" s="97">
        <f ca="1">ROUND(TblProd[[#This Row],[Raw Food/hr]]*(1+TblProd[[#This Row],[Bonus Food/hr]])-TblProd[[#This Row],[Food decay]]-TblProd[[#This Row],[Food eaten]],0)</f>
        <v>996</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5670</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999.9</v>
      </c>
      <c r="AP64" s="97">
        <f ca="1">(1+race_food_consumption)*TblPop[[#This Row],[Total]]*food_per_person*(1+tech_1_10*TblTech[[#This Row],[1-10]]+tech_7_5*TblTech[[#This Row],[7-5]])</f>
        <v>584.5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f>
        <v>0</v>
      </c>
      <c r="BD64" s="161"/>
      <c r="BE64" s="161"/>
      <c r="BF64" s="161"/>
      <c r="BG64" s="162">
        <f ca="1">TblProd[[#This Row],[Time]]</f>
        <v>44873.499999999854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435321</v>
      </c>
      <c r="BJ64" s="97">
        <f ca="1">TblProd[[#This Row],[Food]]</f>
        <v>99990</v>
      </c>
      <c r="BK64" s="97">
        <f ca="1">TblProd[[#This Row],[Lumber]]</f>
        <v>53490</v>
      </c>
      <c r="BL64" s="97">
        <f ca="1">TblProd[[#This Row],[Mana]]</f>
        <v>0</v>
      </c>
      <c r="BM64" s="97">
        <f ca="1">TblProd[[#This Row],[Ore]]</f>
        <v>0</v>
      </c>
    </row>
    <row r="65" spans="1:65" x14ac:dyDescent="0.2">
      <c r="A65" s="140">
        <v>62</v>
      </c>
      <c r="B65" s="155">
        <f ca="1">TblImps[[#This Row],[Time]]</f>
        <v>44873.541666666519</v>
      </c>
      <c r="C65" s="156"/>
      <c r="D65" s="157"/>
      <c r="E65" s="97">
        <f ca="1">TblConstr[[#This Row],[Land]]</f>
        <v>250</v>
      </c>
      <c r="F65" s="97">
        <f ca="1">TblPop[[#This Row],[Peasants]]</f>
        <v>2038</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440991</v>
      </c>
      <c r="I65" s="97">
        <f ca="1">OFFSET(TblProd[[#This Row],[Food]],-1,0)+OFFSET(TblProd[[#This Row],[Food/hr]],-1,0)+ROUNDUP((TblConstr[[#This Row],[Farms]]*80+TblConstr[[#This Row],[Docks]]*35)*(1+OFFSET(TblProd[[#This Row],[Bonus Food/hr]],-1,0)),0)</f>
        <v>100986</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5670</v>
      </c>
      <c r="T65" s="97">
        <f ca="1">ROUND(TblProd[[#This Row],[Raw Food/hr]]*(1+TblProd[[#This Row],[Bonus Food/hr]])-TblProd[[#This Row],[Food decay]]-TblProd[[#This Row],[Food eaten]],0)</f>
        <v>986</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5670</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1009.86</v>
      </c>
      <c r="AP65" s="97">
        <f ca="1">(1+race_food_consumption)*TblPop[[#This Row],[Total]]*food_per_person*(1+tech_1_10*TblTech[[#This Row],[1-10]]+tech_7_5*TblTech[[#This Row],[7-5]])</f>
        <v>584.5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f>
        <v>0</v>
      </c>
      <c r="BD65" s="161"/>
      <c r="BE65" s="161"/>
      <c r="BF65" s="161"/>
      <c r="BG65" s="162">
        <f ca="1">TblProd[[#This Row],[Time]]</f>
        <v>44873.541666666519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440991</v>
      </c>
      <c r="BJ65" s="97">
        <f ca="1">TblProd[[#This Row],[Food]]</f>
        <v>100986</v>
      </c>
      <c r="BK65" s="97">
        <f ca="1">TblProd[[#This Row],[Lumber]]</f>
        <v>53955</v>
      </c>
      <c r="BL65" s="97">
        <f ca="1">TblProd[[#This Row],[Mana]]</f>
        <v>0</v>
      </c>
      <c r="BM65" s="97">
        <f ca="1">TblProd[[#This Row],[Ore]]</f>
        <v>0</v>
      </c>
    </row>
    <row r="66" spans="1:65" x14ac:dyDescent="0.2">
      <c r="A66" s="140">
        <v>63</v>
      </c>
      <c r="B66" s="155">
        <f ca="1">TblImps[[#This Row],[Time]]</f>
        <v>44873.583333333183</v>
      </c>
      <c r="C66" s="156"/>
      <c r="D66" s="157"/>
      <c r="E66" s="97">
        <f ca="1">TblConstr[[#This Row],[Land]]</f>
        <v>250</v>
      </c>
      <c r="F66" s="97">
        <f ca="1">TblPop[[#This Row],[Peasants]]</f>
        <v>2038</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446661</v>
      </c>
      <c r="I66" s="97">
        <f ca="1">OFFSET(TblProd[[#This Row],[Food]],-1,0)+OFFSET(TblProd[[#This Row],[Food/hr]],-1,0)+ROUNDUP((TblConstr[[#This Row],[Farms]]*80+TblConstr[[#This Row],[Docks]]*35)*(1+OFFSET(TblProd[[#This Row],[Bonus Food/hr]],-1,0)),0)</f>
        <v>101972</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5670</v>
      </c>
      <c r="T66" s="97">
        <f ca="1">ROUND(TblProd[[#This Row],[Raw Food/hr]]*(1+TblProd[[#This Row],[Bonus Food/hr]])-TblProd[[#This Row],[Food decay]]-TblProd[[#This Row],[Food eaten]],0)</f>
        <v>976</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5670</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1019.72</v>
      </c>
      <c r="AP66" s="97">
        <f ca="1">(1+race_food_consumption)*TblPop[[#This Row],[Total]]*food_per_person*(1+tech_1_10*TblTech[[#This Row],[1-10]]+tech_7_5*TblTech[[#This Row],[7-5]])</f>
        <v>584.5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f>
        <v>0</v>
      </c>
      <c r="BD66" s="161"/>
      <c r="BE66" s="161"/>
      <c r="BF66" s="161"/>
      <c r="BG66" s="162">
        <f ca="1">TblProd[[#This Row],[Time]]</f>
        <v>44873.583333333183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446661</v>
      </c>
      <c r="BJ66" s="97">
        <f ca="1">TblProd[[#This Row],[Food]]</f>
        <v>101972</v>
      </c>
      <c r="BK66" s="97">
        <f ca="1">TblProd[[#This Row],[Lumber]]</f>
        <v>54415</v>
      </c>
      <c r="BL66" s="97">
        <f ca="1">TblProd[[#This Row],[Mana]]</f>
        <v>0</v>
      </c>
      <c r="BM66" s="97">
        <f ca="1">TblProd[[#This Row],[Ore]]</f>
        <v>0</v>
      </c>
    </row>
    <row r="67" spans="1:65" x14ac:dyDescent="0.2">
      <c r="A67" s="140">
        <v>64</v>
      </c>
      <c r="B67" s="155">
        <f ca="1">TblImps[[#This Row],[Time]]</f>
        <v>44873.624999999847</v>
      </c>
      <c r="C67" s="156"/>
      <c r="D67" s="157"/>
      <c r="E67" s="97">
        <f ca="1">TblConstr[[#This Row],[Land]]</f>
        <v>250</v>
      </c>
      <c r="F67" s="97">
        <f ca="1">TblPop[[#This Row],[Peasants]]</f>
        <v>2038</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452331</v>
      </c>
      <c r="I67" s="97">
        <f ca="1">OFFSET(TblProd[[#This Row],[Food]],-1,0)+OFFSET(TblProd[[#This Row],[Food/hr]],-1,0)+ROUNDUP((TblConstr[[#This Row],[Farms]]*80+TblConstr[[#This Row],[Docks]]*35)*(1+OFFSET(TblProd[[#This Row],[Bonus Food/hr]],-1,0)),0)</f>
        <v>102948</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5670</v>
      </c>
      <c r="T67" s="97">
        <f ca="1">ROUND(TblProd[[#This Row],[Raw Food/hr]]*(1+TblProd[[#This Row],[Bonus Food/hr]])-TblProd[[#This Row],[Food decay]]-TblProd[[#This Row],[Food eaten]],0)</f>
        <v>966</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5670</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1029.48</v>
      </c>
      <c r="AP67" s="97">
        <f ca="1">(1+race_food_consumption)*TblPop[[#This Row],[Total]]*food_per_person*(1+tech_1_10*TblTech[[#This Row],[1-10]]+tech_7_5*TblTech[[#This Row],[7-5]])</f>
        <v>584.5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f>
        <v>0</v>
      </c>
      <c r="BD67" s="161"/>
      <c r="BE67" s="161"/>
      <c r="BF67" s="161"/>
      <c r="BG67" s="162">
        <f ca="1">TblProd[[#This Row],[Time]]</f>
        <v>44873.624999999847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452331</v>
      </c>
      <c r="BJ67" s="97">
        <f ca="1">TblProd[[#This Row],[Food]]</f>
        <v>102948</v>
      </c>
      <c r="BK67" s="97">
        <f ca="1">TblProd[[#This Row],[Lumber]]</f>
        <v>54871</v>
      </c>
      <c r="BL67" s="97">
        <f ca="1">TblProd[[#This Row],[Mana]]</f>
        <v>0</v>
      </c>
      <c r="BM67" s="97">
        <f ca="1">TblProd[[#This Row],[Ore]]</f>
        <v>0</v>
      </c>
    </row>
    <row r="68" spans="1:65" x14ac:dyDescent="0.2">
      <c r="A68" s="140">
        <v>65</v>
      </c>
      <c r="B68" s="155">
        <f ca="1">TblImps[[#This Row],[Time]]</f>
        <v>44873.666666666511</v>
      </c>
      <c r="C68" s="156"/>
      <c r="D68" s="157"/>
      <c r="E68" s="97">
        <f ca="1">TblConstr[[#This Row],[Land]]</f>
        <v>250</v>
      </c>
      <c r="F68" s="97">
        <f ca="1">TblPop[[#This Row],[Peasants]]</f>
        <v>2038</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458001</v>
      </c>
      <c r="I68" s="97">
        <f ca="1">OFFSET(TblProd[[#This Row],[Food]],-1,0)+OFFSET(TblProd[[#This Row],[Food/hr]],-1,0)+ROUNDUP((TblConstr[[#This Row],[Farms]]*80+TblConstr[[#This Row],[Docks]]*35)*(1+OFFSET(TblProd[[#This Row],[Bonus Food/hr]],-1,0)),0)</f>
        <v>103914</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5670</v>
      </c>
      <c r="T68" s="97">
        <f ca="1">ROUND(TblProd[[#This Row],[Raw Food/hr]]*(1+TblProd[[#This Row],[Bonus Food/hr]])-TblProd[[#This Row],[Food decay]]-TblProd[[#This Row],[Food eaten]],0)</f>
        <v>956</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5670</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1039.1400000000001</v>
      </c>
      <c r="AP68" s="97">
        <f ca="1">(1+race_food_consumption)*TblPop[[#This Row],[Total]]*food_per_person*(1+tech_1_10*TblTech[[#This Row],[1-10]]+tech_7_5*TblTech[[#This Row],[7-5]])</f>
        <v>584.5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f>
        <v>0</v>
      </c>
      <c r="BD68" s="161"/>
      <c r="BE68" s="161"/>
      <c r="BF68" s="161"/>
      <c r="BG68" s="162">
        <f ca="1">TblProd[[#This Row],[Time]]</f>
        <v>44873.666666666511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458001</v>
      </c>
      <c r="BJ68" s="97">
        <f ca="1">TblProd[[#This Row],[Food]]</f>
        <v>103914</v>
      </c>
      <c r="BK68" s="97">
        <f ca="1">TblProd[[#This Row],[Lumber]]</f>
        <v>55322</v>
      </c>
      <c r="BL68" s="97">
        <f ca="1">TblProd[[#This Row],[Mana]]</f>
        <v>0</v>
      </c>
      <c r="BM68" s="97">
        <f ca="1">TblProd[[#This Row],[Ore]]</f>
        <v>0</v>
      </c>
    </row>
    <row r="69" spans="1:65" x14ac:dyDescent="0.2">
      <c r="A69" s="140">
        <v>66</v>
      </c>
      <c r="B69" s="155">
        <f ca="1">TblImps[[#This Row],[Time]]</f>
        <v>44873.708333333176</v>
      </c>
      <c r="C69" s="156"/>
      <c r="D69" s="157"/>
      <c r="E69" s="97">
        <f ca="1">TblConstr[[#This Row],[Land]]</f>
        <v>250</v>
      </c>
      <c r="F69" s="97">
        <f ca="1">TblPop[[#This Row],[Peasants]]</f>
        <v>2038</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463671</v>
      </c>
      <c r="I69" s="97">
        <f ca="1">OFFSET(TblProd[[#This Row],[Food]],-1,0)+OFFSET(TblProd[[#This Row],[Food/hr]],-1,0)+ROUNDUP((TblConstr[[#This Row],[Farms]]*80+TblConstr[[#This Row],[Docks]]*35)*(1+OFFSET(TblProd[[#This Row],[Bonus Food/hr]],-1,0)),0)</f>
        <v>104870</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5670</v>
      </c>
      <c r="T69" s="97">
        <f ca="1">ROUND(TblProd[[#This Row],[Raw Food/hr]]*(1+TblProd[[#This Row],[Bonus Food/hr]])-TblProd[[#This Row],[Food decay]]-TblProd[[#This Row],[Food eaten]],0)</f>
        <v>947</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5670</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1048.7</v>
      </c>
      <c r="AP69" s="97">
        <f ca="1">(1+race_food_consumption)*TblPop[[#This Row],[Total]]*food_per_person*(1+tech_1_10*TblTech[[#This Row],[1-10]]+tech_7_5*TblTech[[#This Row],[7-5]])</f>
        <v>584.5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f>
        <v>0</v>
      </c>
      <c r="BD69" s="161"/>
      <c r="BE69" s="161"/>
      <c r="BF69" s="161"/>
      <c r="BG69" s="162">
        <f ca="1">TblProd[[#This Row],[Time]]</f>
        <v>44873.708333333176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463671</v>
      </c>
      <c r="BJ69" s="97">
        <f ca="1">TblProd[[#This Row],[Food]]</f>
        <v>104870</v>
      </c>
      <c r="BK69" s="97">
        <f ca="1">TblProd[[#This Row],[Lumber]]</f>
        <v>55769</v>
      </c>
      <c r="BL69" s="97">
        <f ca="1">TblProd[[#This Row],[Mana]]</f>
        <v>0</v>
      </c>
      <c r="BM69" s="97">
        <f ca="1">TblProd[[#This Row],[Ore]]</f>
        <v>0</v>
      </c>
    </row>
    <row r="70" spans="1:65" x14ac:dyDescent="0.2">
      <c r="A70" s="140">
        <v>67</v>
      </c>
      <c r="B70" s="155">
        <f ca="1">TblImps[[#This Row],[Time]]</f>
        <v>44873.74999999984</v>
      </c>
      <c r="C70" s="156"/>
      <c r="D70" s="157"/>
      <c r="E70" s="97">
        <f ca="1">TblConstr[[#This Row],[Land]]</f>
        <v>250</v>
      </c>
      <c r="F70" s="97">
        <f ca="1">TblPop[[#This Row],[Peasants]]</f>
        <v>2038</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469341</v>
      </c>
      <c r="I70" s="97">
        <f ca="1">OFFSET(TblProd[[#This Row],[Food]],-1,0)+OFFSET(TblProd[[#This Row],[Food/hr]],-1,0)+ROUNDUP((TblConstr[[#This Row],[Farms]]*80+TblConstr[[#This Row],[Docks]]*35)*(1+OFFSET(TblProd[[#This Row],[Bonus Food/hr]],-1,0)),0)</f>
        <v>105817</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5670</v>
      </c>
      <c r="T70" s="97">
        <f ca="1">ROUND(TblProd[[#This Row],[Raw Food/hr]]*(1+TblProd[[#This Row],[Bonus Food/hr]])-TblProd[[#This Row],[Food decay]]-TblProd[[#This Row],[Food eaten]],0)</f>
        <v>937</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5670</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1058.17</v>
      </c>
      <c r="AP70" s="97">
        <f ca="1">(1+race_food_consumption)*TblPop[[#This Row],[Total]]*food_per_person*(1+tech_1_10*TblTech[[#This Row],[1-10]]+tech_7_5*TblTech[[#This Row],[7-5]])</f>
        <v>584.5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f>
        <v>0</v>
      </c>
      <c r="BD70" s="161"/>
      <c r="BE70" s="161"/>
      <c r="BF70" s="161"/>
      <c r="BG70" s="162">
        <f ca="1">TblProd[[#This Row],[Time]]</f>
        <v>44873.74999999984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469341</v>
      </c>
      <c r="BJ70" s="97">
        <f ca="1">TblProd[[#This Row],[Food]]</f>
        <v>105817</v>
      </c>
      <c r="BK70" s="97">
        <f ca="1">TblProd[[#This Row],[Lumber]]</f>
        <v>56211</v>
      </c>
      <c r="BL70" s="97">
        <f ca="1">TblProd[[#This Row],[Mana]]</f>
        <v>0</v>
      </c>
      <c r="BM70" s="97">
        <f ca="1">TblProd[[#This Row],[Ore]]</f>
        <v>0</v>
      </c>
    </row>
    <row r="71" spans="1:65" x14ac:dyDescent="0.2">
      <c r="A71" s="140">
        <v>68</v>
      </c>
      <c r="B71" s="155">
        <f ca="1">TblImps[[#This Row],[Time]]</f>
        <v>44873.791666666504</v>
      </c>
      <c r="C71" s="156"/>
      <c r="D71" s="157"/>
      <c r="E71" s="97">
        <f ca="1">TblConstr[[#This Row],[Land]]</f>
        <v>250</v>
      </c>
      <c r="F71" s="97">
        <f ca="1">TblPop[[#This Row],[Peasants]]</f>
        <v>2038</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475011</v>
      </c>
      <c r="I71" s="97">
        <f ca="1">OFFSET(TblProd[[#This Row],[Food]],-1,0)+OFFSET(TblProd[[#This Row],[Food/hr]],-1,0)+ROUNDUP((TblConstr[[#This Row],[Farms]]*80+TblConstr[[#This Row],[Docks]]*35)*(1+OFFSET(TblProd[[#This Row],[Bonus Food/hr]],-1,0)),0)</f>
        <v>106754</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5670</v>
      </c>
      <c r="T71" s="97">
        <f ca="1">ROUND(TblProd[[#This Row],[Raw Food/hr]]*(1+TblProd[[#This Row],[Bonus Food/hr]])-TblProd[[#This Row],[Food decay]]-TblProd[[#This Row],[Food eaten]],0)</f>
        <v>928</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5670</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1067.54</v>
      </c>
      <c r="AP71" s="97">
        <f ca="1">(1+race_food_consumption)*TblPop[[#This Row],[Total]]*food_per_person*(1+tech_1_10*TblTech[[#This Row],[1-10]]+tech_7_5*TblTech[[#This Row],[7-5]])</f>
        <v>584.5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f>
        <v>0</v>
      </c>
      <c r="BD71" s="161"/>
      <c r="BE71" s="161"/>
      <c r="BF71" s="161"/>
      <c r="BG71" s="162">
        <f ca="1">TblProd[[#This Row],[Time]]</f>
        <v>44873.791666666504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475011</v>
      </c>
      <c r="BJ71" s="97">
        <f ca="1">TblProd[[#This Row],[Food]]</f>
        <v>106754</v>
      </c>
      <c r="BK71" s="97">
        <f ca="1">TblProd[[#This Row],[Lumber]]</f>
        <v>56649</v>
      </c>
      <c r="BL71" s="97">
        <f ca="1">TblProd[[#This Row],[Mana]]</f>
        <v>0</v>
      </c>
      <c r="BM71" s="97">
        <f ca="1">TblProd[[#This Row],[Ore]]</f>
        <v>0</v>
      </c>
    </row>
    <row r="72" spans="1:65" x14ac:dyDescent="0.2">
      <c r="A72" s="140">
        <v>69</v>
      </c>
      <c r="B72" s="155">
        <f ca="1">TblImps[[#This Row],[Time]]</f>
        <v>44873.833333333168</v>
      </c>
      <c r="C72" s="156"/>
      <c r="D72" s="157"/>
      <c r="E72" s="97">
        <f ca="1">TblConstr[[#This Row],[Land]]</f>
        <v>250</v>
      </c>
      <c r="F72" s="97">
        <f ca="1">TblPop[[#This Row],[Peasants]]</f>
        <v>2038</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480681</v>
      </c>
      <c r="I72" s="97">
        <f ca="1">OFFSET(TblProd[[#This Row],[Food]],-1,0)+OFFSET(TblProd[[#This Row],[Food/hr]],-1,0)+ROUNDUP((TblConstr[[#This Row],[Farms]]*80+TblConstr[[#This Row],[Docks]]*35)*(1+OFFSET(TblProd[[#This Row],[Bonus Food/hr]],-1,0)),0)</f>
        <v>107682</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5670</v>
      </c>
      <c r="T72" s="97">
        <f ca="1">ROUND(TblProd[[#This Row],[Raw Food/hr]]*(1+TblProd[[#This Row],[Bonus Food/hr]])-TblProd[[#This Row],[Food decay]]-TblProd[[#This Row],[Food eaten]],0)</f>
        <v>919</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5670</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1076.82</v>
      </c>
      <c r="AP72" s="97">
        <f ca="1">(1+race_food_consumption)*TblPop[[#This Row],[Total]]*food_per_person*(1+tech_1_10*TblTech[[#This Row],[1-10]]+tech_7_5*TblTech[[#This Row],[7-5]])</f>
        <v>584.5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f>
        <v>0</v>
      </c>
      <c r="BD72" s="161"/>
      <c r="BE72" s="161"/>
      <c r="BF72" s="161"/>
      <c r="BG72" s="162">
        <f ca="1">TblProd[[#This Row],[Time]]</f>
        <v>44873.833333333168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480681</v>
      </c>
      <c r="BJ72" s="97">
        <f ca="1">TblProd[[#This Row],[Food]]</f>
        <v>107682</v>
      </c>
      <c r="BK72" s="97">
        <f ca="1">TblProd[[#This Row],[Lumber]]</f>
        <v>57083</v>
      </c>
      <c r="BL72" s="97">
        <f ca="1">TblProd[[#This Row],[Mana]]</f>
        <v>0</v>
      </c>
      <c r="BM72" s="97">
        <f ca="1">TblProd[[#This Row],[Ore]]</f>
        <v>0</v>
      </c>
    </row>
    <row r="73" spans="1:65" x14ac:dyDescent="0.2">
      <c r="A73" s="140">
        <v>70</v>
      </c>
      <c r="B73" s="155">
        <f ca="1">TblImps[[#This Row],[Time]]</f>
        <v>44873.874999999833</v>
      </c>
      <c r="C73" s="156"/>
      <c r="D73" s="157"/>
      <c r="E73" s="97">
        <f ca="1">TblConstr[[#This Row],[Land]]</f>
        <v>250</v>
      </c>
      <c r="F73" s="97">
        <f ca="1">TblPop[[#This Row],[Peasants]]</f>
        <v>2038</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486351</v>
      </c>
      <c r="I73" s="97">
        <f ca="1">OFFSET(TblProd[[#This Row],[Food]],-1,0)+OFFSET(TblProd[[#This Row],[Food/hr]],-1,0)+ROUNDUP((TblConstr[[#This Row],[Farms]]*80+TblConstr[[#This Row],[Docks]]*35)*(1+OFFSET(TblProd[[#This Row],[Bonus Food/hr]],-1,0)),0)</f>
        <v>108601</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5670</v>
      </c>
      <c r="T73" s="97">
        <f ca="1">ROUND(TblProd[[#This Row],[Raw Food/hr]]*(1+TblProd[[#This Row],[Bonus Food/hr]])-TblProd[[#This Row],[Food decay]]-TblProd[[#This Row],[Food eaten]],0)</f>
        <v>909</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5670</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1086.01</v>
      </c>
      <c r="AP73" s="97">
        <f ca="1">(1+race_food_consumption)*TblPop[[#This Row],[Total]]*food_per_person*(1+tech_1_10*TblTech[[#This Row],[1-10]]+tech_7_5*TblTech[[#This Row],[7-5]])</f>
        <v>584.5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f>
        <v>0</v>
      </c>
      <c r="BD73" s="161"/>
      <c r="BE73" s="161"/>
      <c r="BF73" s="161"/>
      <c r="BG73" s="162">
        <f ca="1">TblProd[[#This Row],[Time]]</f>
        <v>44873.874999999833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486351</v>
      </c>
      <c r="BJ73" s="97">
        <f ca="1">TblProd[[#This Row],[Food]]</f>
        <v>108601</v>
      </c>
      <c r="BK73" s="97">
        <f ca="1">TblProd[[#This Row],[Lumber]]</f>
        <v>57512</v>
      </c>
      <c r="BL73" s="97">
        <f ca="1">TblProd[[#This Row],[Mana]]</f>
        <v>0</v>
      </c>
      <c r="BM73" s="97">
        <f ca="1">TblProd[[#This Row],[Ore]]</f>
        <v>0</v>
      </c>
    </row>
    <row r="74" spans="1:65" x14ac:dyDescent="0.2">
      <c r="A74" s="140">
        <v>71</v>
      </c>
      <c r="B74" s="155">
        <f ca="1">TblImps[[#This Row],[Time]]</f>
        <v>44873.916666666497</v>
      </c>
      <c r="C74" s="156"/>
      <c r="D74" s="157"/>
      <c r="E74" s="97">
        <f ca="1">TblConstr[[#This Row],[Land]]</f>
        <v>250</v>
      </c>
      <c r="F74" s="97">
        <f ca="1">TblPop[[#This Row],[Peasants]]</f>
        <v>2038</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492021</v>
      </c>
      <c r="I74" s="97">
        <f ca="1">OFFSET(TblProd[[#This Row],[Food]],-1,0)+OFFSET(TblProd[[#This Row],[Food/hr]],-1,0)+ROUNDUP((TblConstr[[#This Row],[Farms]]*80+TblConstr[[#This Row],[Docks]]*35)*(1+OFFSET(TblProd[[#This Row],[Bonus Food/hr]],-1,0)),0)</f>
        <v>109510</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5670</v>
      </c>
      <c r="T74" s="97">
        <f ca="1">ROUND(TblProd[[#This Row],[Raw Food/hr]]*(1+TblProd[[#This Row],[Bonus Food/hr]])-TblProd[[#This Row],[Food decay]]-TblProd[[#This Row],[Food eaten]],0)</f>
        <v>900</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5670</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1095.1000000000001</v>
      </c>
      <c r="AP74" s="97">
        <f ca="1">(1+race_food_consumption)*TblPop[[#This Row],[Total]]*food_per_person*(1+tech_1_10*TblTech[[#This Row],[1-10]]+tech_7_5*TblTech[[#This Row],[7-5]])</f>
        <v>584.5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f>
        <v>0</v>
      </c>
      <c r="BD74" s="161"/>
      <c r="BE74" s="161"/>
      <c r="BF74" s="161"/>
      <c r="BG74" s="162">
        <f ca="1">TblProd[[#This Row],[Time]]</f>
        <v>44873.916666666497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492021</v>
      </c>
      <c r="BJ74" s="97">
        <f ca="1">TblProd[[#This Row],[Food]]</f>
        <v>109510</v>
      </c>
      <c r="BK74" s="97">
        <f ca="1">TblProd[[#This Row],[Lumber]]</f>
        <v>57937</v>
      </c>
      <c r="BL74" s="97">
        <f ca="1">TblProd[[#This Row],[Mana]]</f>
        <v>0</v>
      </c>
      <c r="BM74" s="97">
        <f ca="1">TblProd[[#This Row],[Ore]]</f>
        <v>0</v>
      </c>
    </row>
    <row r="75" spans="1:65" x14ac:dyDescent="0.2">
      <c r="A75" s="140">
        <v>72</v>
      </c>
      <c r="B75" s="155">
        <f ca="1">TblImps[[#This Row],[Time]]</f>
        <v>44873.958333333161</v>
      </c>
      <c r="C75" s="156"/>
      <c r="D75" s="157"/>
      <c r="E75" s="97">
        <f ca="1">TblConstr[[#This Row],[Land]]</f>
        <v>250</v>
      </c>
      <c r="F75" s="97">
        <f ca="1">TblPop[[#This Row],[Peasants]]</f>
        <v>2038</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497691</v>
      </c>
      <c r="I75" s="97">
        <f ca="1">OFFSET(TblProd[[#This Row],[Food]],-1,0)+OFFSET(TblProd[[#This Row],[Food/hr]],-1,0)+ROUNDUP((TblConstr[[#This Row],[Farms]]*80+TblConstr[[#This Row],[Docks]]*35)*(1+OFFSET(TblProd[[#This Row],[Bonus Food/hr]],-1,0)),0)</f>
        <v>110410</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5670</v>
      </c>
      <c r="T75" s="97">
        <f ca="1">ROUND(TblProd[[#This Row],[Raw Food/hr]]*(1+TblProd[[#This Row],[Bonus Food/hr]])-TblProd[[#This Row],[Food decay]]-TblProd[[#This Row],[Food eaten]],0)</f>
        <v>891</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5670</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1104.1000000000001</v>
      </c>
      <c r="AP75" s="97">
        <f ca="1">(1+race_food_consumption)*TblPop[[#This Row],[Total]]*food_per_person*(1+tech_1_10*TblTech[[#This Row],[1-10]]+tech_7_5*TblTech[[#This Row],[7-5]])</f>
        <v>584.5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f>
        <v>0</v>
      </c>
      <c r="BD75" s="161"/>
      <c r="BE75" s="161"/>
      <c r="BF75" s="161"/>
      <c r="BG75" s="162">
        <f ca="1">TblProd[[#This Row],[Time]]</f>
        <v>44873.958333333161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497691</v>
      </c>
      <c r="BJ75" s="97">
        <f ca="1">TblProd[[#This Row],[Food]]</f>
        <v>110410</v>
      </c>
      <c r="BK75" s="97">
        <f ca="1">TblProd[[#This Row],[Lumber]]</f>
        <v>58358</v>
      </c>
      <c r="BL75" s="97">
        <f ca="1">TblProd[[#This Row],[Mana]]</f>
        <v>0</v>
      </c>
      <c r="BM75" s="97">
        <f ca="1">TblProd[[#This Row],[Ore]]</f>
        <v>0</v>
      </c>
    </row>
    <row r="76" spans="1:65" s="5" customFormat="1" x14ac:dyDescent="0.2">
      <c r="A76" s="147" t="s">
        <v>235</v>
      </c>
      <c r="B76" s="163">
        <f ca="1">TblImps[[#This Row],[Time]]</f>
        <v>44873.999999999825</v>
      </c>
      <c r="C76" s="164"/>
      <c r="D76" s="165"/>
      <c r="E76" s="35">
        <f ca="1">TblConstr[[#This Row],[Land]]</f>
        <v>250</v>
      </c>
      <c r="F76" s="35">
        <f ca="1">TblPop[[#This Row],[Peasants]]</f>
        <v>2038</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503361</v>
      </c>
      <c r="I76" s="35">
        <f ca="1">OFFSET(TblProd[[#This Row],[Food]],-1,0)+OFFSET(TblProd[[#This Row],[Food/hr]],-1,0)+ROUNDUP((TblConstr[[#This Row],[Farms]]*80+TblConstr[[#This Row],[Docks]]*35)*(1+OFFSET(TblProd[[#This Row],[Bonus Food/hr]],-1,0)),0)</f>
        <v>111301</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5670</v>
      </c>
      <c r="T76" s="35">
        <f ca="1">ROUND(TblProd[[#This Row],[Raw Food/hr]]*(1+TblProd[[#This Row],[Bonus Food/hr]])-TblProd[[#This Row],[Food decay]]-TblProd[[#This Row],[Food eaten]],0)</f>
        <v>882</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5670</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1113.01</v>
      </c>
      <c r="AP76" s="35">
        <f ca="1">(1+race_food_consumption)*TblPop[[#This Row],[Total]]*food_per_person*(1+tech_1_10*TblTech[[#This Row],[1-10]]+tech_7_5*TblTech[[#This Row],[7-5]])</f>
        <v>584.5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f>
        <v>0</v>
      </c>
      <c r="BD76" s="169"/>
      <c r="BE76" s="169"/>
      <c r="BF76" s="169"/>
      <c r="BG76" s="170">
        <f ca="1">TblProd[[#This Row],[Time]]</f>
        <v>44873.999999999825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503361</v>
      </c>
      <c r="BJ76" s="35">
        <f ca="1">TblProd[[#This Row],[Food]]</f>
        <v>111301</v>
      </c>
      <c r="BK76" s="35">
        <f ca="1">TblProd[[#This Row],[Lumber]]</f>
        <v>58774</v>
      </c>
      <c r="BL76" s="35">
        <f ca="1">TblProd[[#This Row],[Mana]]</f>
        <v>0</v>
      </c>
      <c r="BM76" s="35">
        <f ca="1">TblProd[[#This Row],[Ore]]</f>
        <v>0</v>
      </c>
    </row>
    <row r="77" spans="1:65" x14ac:dyDescent="0.2">
      <c r="A77" s="140">
        <v>2</v>
      </c>
      <c r="B77" s="155">
        <f ca="1">TblImps[[#This Row],[Time]]</f>
        <v>44874.04166666649</v>
      </c>
      <c r="C77" s="156"/>
      <c r="D77" s="157"/>
      <c r="E77" s="97">
        <f ca="1">TblConstr[[#This Row],[Land]]</f>
        <v>250</v>
      </c>
      <c r="F77" s="97">
        <f ca="1">TblPop[[#This Row],[Peasants]]</f>
        <v>2038</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509031</v>
      </c>
      <c r="I77" s="97">
        <f ca="1">OFFSET(TblProd[[#This Row],[Food]],-1,0)+OFFSET(TblProd[[#This Row],[Food/hr]],-1,0)+ROUNDUP((TblConstr[[#This Row],[Farms]]*80+TblConstr[[#This Row],[Docks]]*35)*(1+OFFSET(TblProd[[#This Row],[Bonus Food/hr]],-1,0)),0)</f>
        <v>112183</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5670</v>
      </c>
      <c r="T77" s="97">
        <f ca="1">ROUND(TblProd[[#This Row],[Raw Food/hr]]*(1+TblProd[[#This Row],[Bonus Food/hr]])-TblProd[[#This Row],[Food decay]]-TblProd[[#This Row],[Food eaten]],0)</f>
        <v>874</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5670</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1121.83</v>
      </c>
      <c r="AP77" s="97">
        <f ca="1">(1+race_food_consumption)*TblPop[[#This Row],[Total]]*food_per_person*(1+tech_1_10*TblTech[[#This Row],[1-10]]+tech_7_5*TblTech[[#This Row],[7-5]])</f>
        <v>584.5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f>
        <v>0</v>
      </c>
      <c r="BD77" s="161"/>
      <c r="BE77" s="161"/>
      <c r="BF77" s="161"/>
      <c r="BG77" s="162">
        <f ca="1">TblProd[[#This Row],[Time]]</f>
        <v>44874.04166666649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509031</v>
      </c>
      <c r="BJ77" s="97">
        <f ca="1">TblProd[[#This Row],[Food]]</f>
        <v>112183</v>
      </c>
      <c r="BK77" s="97">
        <f ca="1">TblProd[[#This Row],[Lumber]]</f>
        <v>59186</v>
      </c>
      <c r="BL77" s="97">
        <f ca="1">TblProd[[#This Row],[Mana]]</f>
        <v>0</v>
      </c>
      <c r="BM77" s="97">
        <f ca="1">TblProd[[#This Row],[Ore]]</f>
        <v>0</v>
      </c>
    </row>
    <row r="78" spans="1:65" x14ac:dyDescent="0.2">
      <c r="A78" s="140">
        <v>3</v>
      </c>
      <c r="B78" s="155">
        <f ca="1">TblImps[[#This Row],[Time]]</f>
        <v>44874.083333333154</v>
      </c>
      <c r="C78" s="156"/>
      <c r="D78" s="157"/>
      <c r="E78" s="97">
        <f ca="1">TblConstr[[#This Row],[Land]]</f>
        <v>250</v>
      </c>
      <c r="F78" s="97">
        <f ca="1">TblPop[[#This Row],[Peasants]]</f>
        <v>2038</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514701</v>
      </c>
      <c r="I78" s="97">
        <f ca="1">OFFSET(TblProd[[#This Row],[Food]],-1,0)+OFFSET(TblProd[[#This Row],[Food/hr]],-1,0)+ROUNDUP((TblConstr[[#This Row],[Farms]]*80+TblConstr[[#This Row],[Docks]]*35)*(1+OFFSET(TblProd[[#This Row],[Bonus Food/hr]],-1,0)),0)</f>
        <v>113057</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5670</v>
      </c>
      <c r="T78" s="97">
        <f ca="1">ROUND(TblProd[[#This Row],[Raw Food/hr]]*(1+TblProd[[#This Row],[Bonus Food/hr]])-TblProd[[#This Row],[Food decay]]-TblProd[[#This Row],[Food eaten]],0)</f>
        <v>865</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5670</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1130.57</v>
      </c>
      <c r="AP78" s="97">
        <f ca="1">(1+race_food_consumption)*TblPop[[#This Row],[Total]]*food_per_person*(1+tech_1_10*TblTech[[#This Row],[1-10]]+tech_7_5*TblTech[[#This Row],[7-5]])</f>
        <v>584.5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f>
        <v>0</v>
      </c>
      <c r="BD78" s="161"/>
      <c r="BE78" s="161"/>
      <c r="BF78" s="161"/>
      <c r="BG78" s="162">
        <f ca="1">TblProd[[#This Row],[Time]]</f>
        <v>44874.083333333154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514701</v>
      </c>
      <c r="BJ78" s="97">
        <f ca="1">TblProd[[#This Row],[Food]]</f>
        <v>113057</v>
      </c>
      <c r="BK78" s="97">
        <f ca="1">TblProd[[#This Row],[Lumber]]</f>
        <v>59594</v>
      </c>
      <c r="BL78" s="97">
        <f ca="1">TblProd[[#This Row],[Mana]]</f>
        <v>0</v>
      </c>
      <c r="BM78" s="97">
        <f ca="1">TblProd[[#This Row],[Ore]]</f>
        <v>0</v>
      </c>
    </row>
    <row r="79" spans="1:65" x14ac:dyDescent="0.2">
      <c r="A79" s="140">
        <v>4</v>
      </c>
      <c r="B79" s="155">
        <f ca="1">TblImps[[#This Row],[Time]]</f>
        <v>44874.124999999818</v>
      </c>
      <c r="C79" s="156"/>
      <c r="D79" s="157"/>
      <c r="E79" s="97">
        <f ca="1">TblConstr[[#This Row],[Land]]</f>
        <v>250</v>
      </c>
      <c r="F79" s="97">
        <f ca="1">TblPop[[#This Row],[Peasants]]</f>
        <v>2038</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520371</v>
      </c>
      <c r="I79" s="97">
        <f ca="1">OFFSET(TblProd[[#This Row],[Food]],-1,0)+OFFSET(TblProd[[#This Row],[Food/hr]],-1,0)+ROUNDUP((TblConstr[[#This Row],[Farms]]*80+TblConstr[[#This Row],[Docks]]*35)*(1+OFFSET(TblProd[[#This Row],[Bonus Food/hr]],-1,0)),0)</f>
        <v>113922</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5670</v>
      </c>
      <c r="T79" s="97">
        <f ca="1">ROUND(TblProd[[#This Row],[Raw Food/hr]]*(1+TblProd[[#This Row],[Bonus Food/hr]])-TblProd[[#This Row],[Food decay]]-TblProd[[#This Row],[Food eaten]],0)</f>
        <v>856</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5670</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1139.22</v>
      </c>
      <c r="AP79" s="97">
        <f ca="1">(1+race_food_consumption)*TblPop[[#This Row],[Total]]*food_per_person*(1+tech_1_10*TblTech[[#This Row],[1-10]]+tech_7_5*TblTech[[#This Row],[7-5]])</f>
        <v>584.5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f>
        <v>0</v>
      </c>
      <c r="BD79" s="161"/>
      <c r="BE79" s="161"/>
      <c r="BF79" s="161"/>
      <c r="BG79" s="162">
        <f ca="1">TblProd[[#This Row],[Time]]</f>
        <v>44874.124999999818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520371</v>
      </c>
      <c r="BJ79" s="97">
        <f ca="1">TblProd[[#This Row],[Food]]</f>
        <v>113922</v>
      </c>
      <c r="BK79" s="97">
        <f ca="1">TblProd[[#This Row],[Lumber]]</f>
        <v>59998</v>
      </c>
      <c r="BL79" s="97">
        <f ca="1">TblProd[[#This Row],[Mana]]</f>
        <v>0</v>
      </c>
      <c r="BM79" s="97">
        <f ca="1">TblProd[[#This Row],[Ore]]</f>
        <v>0</v>
      </c>
    </row>
    <row r="80" spans="1:65" x14ac:dyDescent="0.2">
      <c r="A80" s="140">
        <v>5</v>
      </c>
      <c r="B80" s="155">
        <f ca="1">TblImps[[#This Row],[Time]]</f>
        <v>44874.166666666482</v>
      </c>
      <c r="C80" s="156"/>
      <c r="D80" s="157"/>
      <c r="E80" s="97">
        <f ca="1">TblConstr[[#This Row],[Land]]</f>
        <v>250</v>
      </c>
      <c r="F80" s="97">
        <f ca="1">TblPop[[#This Row],[Peasants]]</f>
        <v>2038</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526041</v>
      </c>
      <c r="I80" s="97">
        <f ca="1">OFFSET(TblProd[[#This Row],[Food]],-1,0)+OFFSET(TblProd[[#This Row],[Food/hr]],-1,0)+ROUNDUP((TblConstr[[#This Row],[Farms]]*80+TblConstr[[#This Row],[Docks]]*35)*(1+OFFSET(TblProd[[#This Row],[Bonus Food/hr]],-1,0)),0)</f>
        <v>114778</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5670</v>
      </c>
      <c r="T80" s="97">
        <f ca="1">ROUND(TblProd[[#This Row],[Raw Food/hr]]*(1+TblProd[[#This Row],[Bonus Food/hr]])-TblProd[[#This Row],[Food decay]]-TblProd[[#This Row],[Food eaten]],0)</f>
        <v>848</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5670</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1147.78</v>
      </c>
      <c r="AP80" s="97">
        <f ca="1">(1+race_food_consumption)*TblPop[[#This Row],[Total]]*food_per_person*(1+tech_1_10*TblTech[[#This Row],[1-10]]+tech_7_5*TblTech[[#This Row],[7-5]])</f>
        <v>584.5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f>
        <v>0</v>
      </c>
      <c r="BD80" s="161"/>
      <c r="BE80" s="161"/>
      <c r="BF80" s="161"/>
      <c r="BG80" s="162">
        <f ca="1">TblProd[[#This Row],[Time]]</f>
        <v>44874.166666666482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526041</v>
      </c>
      <c r="BJ80" s="97">
        <f ca="1">TblProd[[#This Row],[Food]]</f>
        <v>114778</v>
      </c>
      <c r="BK80" s="97">
        <f ca="1">TblProd[[#This Row],[Lumber]]</f>
        <v>60398</v>
      </c>
      <c r="BL80" s="97">
        <f ca="1">TblProd[[#This Row],[Mana]]</f>
        <v>0</v>
      </c>
      <c r="BM80" s="97">
        <f ca="1">TblProd[[#This Row],[Ore]]</f>
        <v>0</v>
      </c>
    </row>
    <row r="81" spans="1:65" x14ac:dyDescent="0.2">
      <c r="A81" s="140">
        <v>6</v>
      </c>
      <c r="B81" s="155">
        <f ca="1">TblImps[[#This Row],[Time]]</f>
        <v>44874.208333333147</v>
      </c>
      <c r="C81" s="156"/>
      <c r="D81" s="157"/>
      <c r="E81" s="97">
        <f ca="1">TblConstr[[#This Row],[Land]]</f>
        <v>250</v>
      </c>
      <c r="F81" s="97">
        <f ca="1">TblPop[[#This Row],[Peasants]]</f>
        <v>2038</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531711</v>
      </c>
      <c r="I81" s="97">
        <f ca="1">OFFSET(TblProd[[#This Row],[Food]],-1,0)+OFFSET(TblProd[[#This Row],[Food/hr]],-1,0)+ROUNDUP((TblConstr[[#This Row],[Farms]]*80+TblConstr[[#This Row],[Docks]]*35)*(1+OFFSET(TblProd[[#This Row],[Bonus Food/hr]],-1,0)),0)</f>
        <v>115626</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5670</v>
      </c>
      <c r="T81" s="97">
        <f ca="1">ROUND(TblProd[[#This Row],[Raw Food/hr]]*(1+TblProd[[#This Row],[Bonus Food/hr]])-TblProd[[#This Row],[Food decay]]-TblProd[[#This Row],[Food eaten]],0)</f>
        <v>839</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5670</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1156.26</v>
      </c>
      <c r="AP81" s="97">
        <f ca="1">(1+race_food_consumption)*TblPop[[#This Row],[Total]]*food_per_person*(1+tech_1_10*TblTech[[#This Row],[1-10]]+tech_7_5*TblTech[[#This Row],[7-5]])</f>
        <v>584.5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f>
        <v>0</v>
      </c>
      <c r="BD81" s="161"/>
      <c r="BE81" s="161"/>
      <c r="BF81" s="161"/>
      <c r="BG81" s="162">
        <f ca="1">TblProd[[#This Row],[Time]]</f>
        <v>44874.208333333147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531711</v>
      </c>
      <c r="BJ81" s="97">
        <f ca="1">TblProd[[#This Row],[Food]]</f>
        <v>115626</v>
      </c>
      <c r="BK81" s="97">
        <f ca="1">TblProd[[#This Row],[Lumber]]</f>
        <v>60794</v>
      </c>
      <c r="BL81" s="97">
        <f ca="1">TblProd[[#This Row],[Mana]]</f>
        <v>0</v>
      </c>
      <c r="BM81" s="97">
        <f ca="1">TblProd[[#This Row],[Ore]]</f>
        <v>0</v>
      </c>
    </row>
    <row r="82" spans="1:65" x14ac:dyDescent="0.2">
      <c r="A82" s="140">
        <v>7</v>
      </c>
      <c r="B82" s="155">
        <f ca="1">TblImps[[#This Row],[Time]]</f>
        <v>44874.249999999811</v>
      </c>
      <c r="C82" s="156"/>
      <c r="D82" s="157"/>
      <c r="E82" s="97">
        <f ca="1">TblConstr[[#This Row],[Land]]</f>
        <v>250</v>
      </c>
      <c r="F82" s="97">
        <f ca="1">TblPop[[#This Row],[Peasants]]</f>
        <v>2038</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537381</v>
      </c>
      <c r="I82" s="97">
        <f ca="1">OFFSET(TblProd[[#This Row],[Food]],-1,0)+OFFSET(TblProd[[#This Row],[Food/hr]],-1,0)+ROUNDUP((TblConstr[[#This Row],[Farms]]*80+TblConstr[[#This Row],[Docks]]*35)*(1+OFFSET(TblProd[[#This Row],[Bonus Food/hr]],-1,0)),0)</f>
        <v>116465</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5670</v>
      </c>
      <c r="T82" s="97">
        <f ca="1">ROUND(TblProd[[#This Row],[Raw Food/hr]]*(1+TblProd[[#This Row],[Bonus Food/hr]])-TblProd[[#This Row],[Food decay]]-TblProd[[#This Row],[Food eaten]],0)</f>
        <v>831</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5670</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1164.6500000000001</v>
      </c>
      <c r="AP82" s="97">
        <f ca="1">(1+race_food_consumption)*TblPop[[#This Row],[Total]]*food_per_person*(1+tech_1_10*TblTech[[#This Row],[1-10]]+tech_7_5*TblTech[[#This Row],[7-5]])</f>
        <v>584.5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f>
        <v>0</v>
      </c>
      <c r="BD82" s="161"/>
      <c r="BE82" s="161"/>
      <c r="BF82" s="161"/>
      <c r="BG82" s="162">
        <f ca="1">TblProd[[#This Row],[Time]]</f>
        <v>44874.249999999811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537381</v>
      </c>
      <c r="BJ82" s="97">
        <f ca="1">TblProd[[#This Row],[Food]]</f>
        <v>116465</v>
      </c>
      <c r="BK82" s="97">
        <f ca="1">TblProd[[#This Row],[Lumber]]</f>
        <v>61186</v>
      </c>
      <c r="BL82" s="97">
        <f ca="1">TblProd[[#This Row],[Mana]]</f>
        <v>0</v>
      </c>
      <c r="BM82" s="97">
        <f ca="1">TblProd[[#This Row],[Ore]]</f>
        <v>0</v>
      </c>
    </row>
    <row r="83" spans="1:65" x14ac:dyDescent="0.2">
      <c r="A83" s="140">
        <v>8</v>
      </c>
      <c r="B83" s="155">
        <f ca="1">TblImps[[#This Row],[Time]]</f>
        <v>44874.291666666475</v>
      </c>
      <c r="C83" s="156"/>
      <c r="D83" s="157"/>
      <c r="E83" s="97">
        <f ca="1">TblConstr[[#This Row],[Land]]</f>
        <v>250</v>
      </c>
      <c r="F83" s="97">
        <f ca="1">TblPop[[#This Row],[Peasants]]</f>
        <v>2038</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543051</v>
      </c>
      <c r="I83" s="97">
        <f ca="1">OFFSET(TblProd[[#This Row],[Food]],-1,0)+OFFSET(TblProd[[#This Row],[Food/hr]],-1,0)+ROUNDUP((TblConstr[[#This Row],[Farms]]*80+TblConstr[[#This Row],[Docks]]*35)*(1+OFFSET(TblProd[[#This Row],[Bonus Food/hr]],-1,0)),0)</f>
        <v>117296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5670</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5670</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1172.96</v>
      </c>
      <c r="AP83" s="97">
        <f ca="1">(1+race_food_consumption)*TblPop[[#This Row],[Total]]*food_per_person*(1+tech_1_10*TblTech[[#This Row],[1-10]]+tech_7_5*TblTech[[#This Row],[7-5]])</f>
        <v>584.5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f>
        <v>0</v>
      </c>
      <c r="BD83" s="161"/>
      <c r="BE83" s="161"/>
      <c r="BF83" s="161"/>
      <c r="BG83" s="162">
        <f ca="1">TblProd[[#This Row],[Time]]</f>
        <v>44874.291666666475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543051</v>
      </c>
      <c r="BJ83" s="97">
        <f ca="1">TblProd[[#This Row],[Food]]</f>
        <v>117296</v>
      </c>
      <c r="BK83" s="97">
        <f ca="1">TblProd[[#This Row],[Lumber]]</f>
        <v>61574</v>
      </c>
      <c r="BL83" s="97">
        <f ca="1">TblProd[[#This Row],[Mana]]</f>
        <v>0</v>
      </c>
      <c r="BM83" s="97">
        <f ca="1">TblProd[[#This Row],[Ore]]</f>
        <v>0</v>
      </c>
    </row>
    <row r="84" spans="1:65" x14ac:dyDescent="0.2">
      <c r="A84" s="140">
        <v>9</v>
      </c>
      <c r="B84" s="155">
        <f ca="1">TblImps[[#This Row],[Time]]</f>
        <v>44874.333333333139</v>
      </c>
      <c r="C84" s="156"/>
      <c r="D84" s="157"/>
      <c r="E84" s="97">
        <f ca="1">TblConstr[[#This Row],[Land]]</f>
        <v>250</v>
      </c>
      <c r="F84" s="97">
        <f ca="1">TblPop[[#This Row],[Peasants]]</f>
        <v>2038</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548721</v>
      </c>
      <c r="I84" s="97">
        <f ca="1">OFFSET(TblProd[[#This Row],[Food]],-1,0)+OFFSET(TblProd[[#This Row],[Food/hr]],-1,0)+ROUNDUP((TblConstr[[#This Row],[Farms]]*80+TblConstr[[#This Row],[Docks]]*35)*(1+OFFSET(TblProd[[#This Row],[Bonus Food/hr]],-1,0)),0)</f>
        <v>118119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5670</v>
      </c>
      <c r="T84" s="97">
        <f ca="1">ROUND(TblProd[[#This Row],[Raw Food/hr]]*(1+TblProd[[#This Row],[Bonus Food/hr]])-TblProd[[#This Row],[Food decay]]-TblProd[[#This Row],[Food eaten]],0)</f>
        <v>814</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5670</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1181.19</v>
      </c>
      <c r="AP84" s="97">
        <f ca="1">(1+race_food_consumption)*TblPop[[#This Row],[Total]]*food_per_person*(1+tech_1_10*TblTech[[#This Row],[1-10]]+tech_7_5*TblTech[[#This Row],[7-5]])</f>
        <v>584.5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f>
        <v>0</v>
      </c>
      <c r="BD84" s="161"/>
      <c r="BE84" s="161"/>
      <c r="BF84" s="161"/>
      <c r="BG84" s="162">
        <f ca="1">TblProd[[#This Row],[Time]]</f>
        <v>44874.333333333139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548721</v>
      </c>
      <c r="BJ84" s="97">
        <f ca="1">TblProd[[#This Row],[Food]]</f>
        <v>118119</v>
      </c>
      <c r="BK84" s="97">
        <f ca="1">TblProd[[#This Row],[Lumber]]</f>
        <v>61958</v>
      </c>
      <c r="BL84" s="97">
        <f ca="1">TblProd[[#This Row],[Mana]]</f>
        <v>0</v>
      </c>
      <c r="BM84" s="97">
        <f ca="1">TblProd[[#This Row],[Ore]]</f>
        <v>0</v>
      </c>
    </row>
    <row r="85" spans="1:65" x14ac:dyDescent="0.2">
      <c r="A85" s="140">
        <v>10</v>
      </c>
      <c r="B85" s="155">
        <f ca="1">TblImps[[#This Row],[Time]]</f>
        <v>44874.374999999804</v>
      </c>
      <c r="C85" s="156"/>
      <c r="D85" s="157"/>
      <c r="E85" s="97">
        <f ca="1">TblConstr[[#This Row],[Land]]</f>
        <v>250</v>
      </c>
      <c r="F85" s="97">
        <f ca="1">TblPop[[#This Row],[Peasants]]</f>
        <v>2038</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554391</v>
      </c>
      <c r="I85" s="97">
        <f ca="1">OFFSET(TblProd[[#This Row],[Food]],-1,0)+OFFSET(TblProd[[#This Row],[Food/hr]],-1,0)+ROUNDUP((TblConstr[[#This Row],[Farms]]*80+TblConstr[[#This Row],[Docks]]*35)*(1+OFFSET(TblProd[[#This Row],[Bonus Food/hr]],-1,0)),0)</f>
        <v>118933</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5670</v>
      </c>
      <c r="T85" s="97">
        <f ca="1">ROUND(TblProd[[#This Row],[Raw Food/hr]]*(1+TblProd[[#This Row],[Bonus Food/hr]])-TblProd[[#This Row],[Food decay]]-TblProd[[#This Row],[Food eaten]],0)</f>
        <v>806</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5670</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1189.33</v>
      </c>
      <c r="AP85" s="97">
        <f ca="1">(1+race_food_consumption)*TblPop[[#This Row],[Total]]*food_per_person*(1+tech_1_10*TblTech[[#This Row],[1-10]]+tech_7_5*TblTech[[#This Row],[7-5]])</f>
        <v>584.5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f>
        <v>0</v>
      </c>
      <c r="BD85" s="161"/>
      <c r="BE85" s="161"/>
      <c r="BF85" s="161"/>
      <c r="BG85" s="162">
        <f ca="1">TblProd[[#This Row],[Time]]</f>
        <v>44874.374999999804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554391</v>
      </c>
      <c r="BJ85" s="97">
        <f ca="1">TblProd[[#This Row],[Food]]</f>
        <v>118933</v>
      </c>
      <c r="BK85" s="97">
        <f ca="1">TblProd[[#This Row],[Lumber]]</f>
        <v>62338</v>
      </c>
      <c r="BL85" s="97">
        <f ca="1">TblProd[[#This Row],[Mana]]</f>
        <v>0</v>
      </c>
      <c r="BM85" s="97">
        <f ca="1">TblProd[[#This Row],[Ore]]</f>
        <v>0</v>
      </c>
    </row>
    <row r="86" spans="1:65" x14ac:dyDescent="0.2">
      <c r="A86" s="140">
        <v>11</v>
      </c>
      <c r="B86" s="155">
        <f ca="1">TblImps[[#This Row],[Time]]</f>
        <v>44874.416666666468</v>
      </c>
      <c r="C86" s="156"/>
      <c r="D86" s="157"/>
      <c r="E86" s="97">
        <f ca="1">TblConstr[[#This Row],[Land]]</f>
        <v>250</v>
      </c>
      <c r="F86" s="97">
        <f ca="1">TblPop[[#This Row],[Peasants]]</f>
        <v>2038</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560061</v>
      </c>
      <c r="I86" s="97">
        <f ca="1">OFFSET(TblProd[[#This Row],[Food]],-1,0)+OFFSET(TblProd[[#This Row],[Food/hr]],-1,0)+ROUNDUP((TblConstr[[#This Row],[Farms]]*80+TblConstr[[#This Row],[Docks]]*35)*(1+OFFSET(TblProd[[#This Row],[Bonus Food/hr]],-1,0)),0)</f>
        <v>119739</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5670</v>
      </c>
      <c r="T86" s="97">
        <f ca="1">ROUND(TblProd[[#This Row],[Raw Food/hr]]*(1+TblProd[[#This Row],[Bonus Food/hr]])-TblProd[[#This Row],[Food decay]]-TblProd[[#This Row],[Food eaten]],0)</f>
        <v>798</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5670</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1197.3900000000001</v>
      </c>
      <c r="AP86" s="97">
        <f ca="1">(1+race_food_consumption)*TblPop[[#This Row],[Total]]*food_per_person*(1+tech_1_10*TblTech[[#This Row],[1-10]]+tech_7_5*TblTech[[#This Row],[7-5]])</f>
        <v>584.5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f>
        <v>0</v>
      </c>
      <c r="BD86" s="161"/>
      <c r="BE86" s="161"/>
      <c r="BF86" s="161"/>
      <c r="BG86" s="162">
        <f ca="1">TblProd[[#This Row],[Time]]</f>
        <v>44874.416666666468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560061</v>
      </c>
      <c r="BJ86" s="97">
        <f ca="1">TblProd[[#This Row],[Food]]</f>
        <v>119739</v>
      </c>
      <c r="BK86" s="97">
        <f ca="1">TblProd[[#This Row],[Lumber]]</f>
        <v>62715</v>
      </c>
      <c r="BL86" s="97">
        <f ca="1">TblProd[[#This Row],[Mana]]</f>
        <v>0</v>
      </c>
      <c r="BM86" s="97">
        <f ca="1">TblProd[[#This Row],[Ore]]</f>
        <v>0</v>
      </c>
    </row>
    <row r="87" spans="1:65" x14ac:dyDescent="0.2">
      <c r="A87" s="140">
        <v>12</v>
      </c>
      <c r="B87" s="155">
        <f ca="1">TblImps[[#This Row],[Time]]</f>
        <v>44874.458333333132</v>
      </c>
      <c r="C87" s="156"/>
      <c r="D87" s="157"/>
      <c r="E87" s="97">
        <f ca="1">TblConstr[[#This Row],[Land]]</f>
        <v>250</v>
      </c>
      <c r="F87" s="97">
        <f ca="1">TblPop[[#This Row],[Peasants]]</f>
        <v>2038</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565731</v>
      </c>
      <c r="I87" s="97">
        <f ca="1">OFFSET(TblProd[[#This Row],[Food]],-1,0)+OFFSET(TblProd[[#This Row],[Food/hr]],-1,0)+ROUNDUP((TblConstr[[#This Row],[Farms]]*80+TblConstr[[#This Row],[Docks]]*35)*(1+OFFSET(TblProd[[#This Row],[Bonus Food/hr]],-1,0)),0)</f>
        <v>120537</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5670</v>
      </c>
      <c r="T87" s="97">
        <f ca="1">ROUND(TblProd[[#This Row],[Raw Food/hr]]*(1+TblProd[[#This Row],[Bonus Food/hr]])-TblProd[[#This Row],[Food decay]]-TblProd[[#This Row],[Food eaten]],0)</f>
        <v>790</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5670</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1205.3700000000001</v>
      </c>
      <c r="AP87" s="97">
        <f ca="1">(1+race_food_consumption)*TblPop[[#This Row],[Total]]*food_per_person*(1+tech_1_10*TblTech[[#This Row],[1-10]]+tech_7_5*TblTech[[#This Row],[7-5]])</f>
        <v>584.5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f>
        <v>0</v>
      </c>
      <c r="BD87" s="161"/>
      <c r="BE87" s="161"/>
      <c r="BF87" s="161"/>
      <c r="BG87" s="162">
        <f ca="1">TblProd[[#This Row],[Time]]</f>
        <v>44874.458333333132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565731</v>
      </c>
      <c r="BJ87" s="97">
        <f ca="1">TblProd[[#This Row],[Food]]</f>
        <v>120537</v>
      </c>
      <c r="BK87" s="97">
        <f ca="1">TblProd[[#This Row],[Lumber]]</f>
        <v>63088</v>
      </c>
      <c r="BL87" s="97">
        <f ca="1">TblProd[[#This Row],[Mana]]</f>
        <v>0</v>
      </c>
      <c r="BM87" s="97">
        <f ca="1">TblProd[[#This Row],[Ore]]</f>
        <v>0</v>
      </c>
    </row>
    <row r="88" spans="1:65" x14ac:dyDescent="0.2">
      <c r="A88" s="140">
        <v>13</v>
      </c>
      <c r="B88" s="155">
        <f ca="1">TblImps[[#This Row],[Time]]</f>
        <v>44874.499999999796</v>
      </c>
      <c r="C88" s="156"/>
      <c r="D88" s="157"/>
      <c r="E88" s="97">
        <f ca="1">TblConstr[[#This Row],[Land]]</f>
        <v>250</v>
      </c>
      <c r="F88" s="97">
        <f ca="1">TblPop[[#This Row],[Peasants]]</f>
        <v>2038</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571401</v>
      </c>
      <c r="I88" s="97">
        <f ca="1">OFFSET(TblProd[[#This Row],[Food]],-1,0)+OFFSET(TblProd[[#This Row],[Food/hr]],-1,0)+ROUNDUP((TblConstr[[#This Row],[Farms]]*80+TblConstr[[#This Row],[Docks]]*35)*(1+OFFSET(TblProd[[#This Row],[Bonus Food/hr]],-1,0)),0)</f>
        <v>121327</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5670</v>
      </c>
      <c r="T88" s="97">
        <f ca="1">ROUND(TblProd[[#This Row],[Raw Food/hr]]*(1+TblProd[[#This Row],[Bonus Food/hr]])-TblProd[[#This Row],[Food decay]]-TblProd[[#This Row],[Food eaten]],0)</f>
        <v>782</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5670</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1213.27</v>
      </c>
      <c r="AP88" s="97">
        <f ca="1">(1+race_food_consumption)*TblPop[[#This Row],[Total]]*food_per_person*(1+tech_1_10*TblTech[[#This Row],[1-10]]+tech_7_5*TblTech[[#This Row],[7-5]])</f>
        <v>584.5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f>
        <v>0</v>
      </c>
      <c r="BD88" s="161"/>
      <c r="BE88" s="161"/>
      <c r="BF88" s="161"/>
      <c r="BG88" s="162">
        <f ca="1">TblProd[[#This Row],[Time]]</f>
        <v>44874.499999999796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571401</v>
      </c>
      <c r="BJ88" s="97">
        <f ca="1">TblProd[[#This Row],[Food]]</f>
        <v>121327</v>
      </c>
      <c r="BK88" s="97">
        <f ca="1">TblProd[[#This Row],[Lumber]]</f>
        <v>63457</v>
      </c>
      <c r="BL88" s="97">
        <f ca="1">TblProd[[#This Row],[Mana]]</f>
        <v>0</v>
      </c>
      <c r="BM88" s="97">
        <f ca="1">TblProd[[#This Row],[Ore]]</f>
        <v>0</v>
      </c>
    </row>
    <row r="89" spans="1:65" x14ac:dyDescent="0.2">
      <c r="A89" s="140">
        <v>14</v>
      </c>
      <c r="B89" s="155">
        <f ca="1">TblImps[[#This Row],[Time]]</f>
        <v>44874.541666666461</v>
      </c>
      <c r="C89" s="156"/>
      <c r="D89" s="157"/>
      <c r="E89" s="97">
        <f ca="1">TblConstr[[#This Row],[Land]]</f>
        <v>250</v>
      </c>
      <c r="F89" s="97">
        <f ca="1">TblPop[[#This Row],[Peasants]]</f>
        <v>2038</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577071</v>
      </c>
      <c r="I89" s="97">
        <f ca="1">OFFSET(TblProd[[#This Row],[Food]],-1,0)+OFFSET(TblProd[[#This Row],[Food/hr]],-1,0)+ROUNDUP((TblConstr[[#This Row],[Farms]]*80+TblConstr[[#This Row],[Docks]]*35)*(1+OFFSET(TblProd[[#This Row],[Bonus Food/hr]],-1,0)),0)</f>
        <v>122109</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5670</v>
      </c>
      <c r="T89" s="97">
        <f ca="1">ROUND(TblProd[[#This Row],[Raw Food/hr]]*(1+TblProd[[#This Row],[Bonus Food/hr]])-TblProd[[#This Row],[Food decay]]-TblProd[[#This Row],[Food eaten]],0)</f>
        <v>774</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5670</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1221.0899999999999</v>
      </c>
      <c r="AP89" s="97">
        <f ca="1">(1+race_food_consumption)*TblPop[[#This Row],[Total]]*food_per_person*(1+tech_1_10*TblTech[[#This Row],[1-10]]+tech_7_5*TblTech[[#This Row],[7-5]])</f>
        <v>584.5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f>
        <v>0</v>
      </c>
      <c r="BD89" s="161"/>
      <c r="BE89" s="161"/>
      <c r="BF89" s="161"/>
      <c r="BG89" s="162">
        <f ca="1">TblProd[[#This Row],[Time]]</f>
        <v>44874.541666666461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577071</v>
      </c>
      <c r="BJ89" s="97">
        <f ca="1">TblProd[[#This Row],[Food]]</f>
        <v>122109</v>
      </c>
      <c r="BK89" s="97">
        <f ca="1">TblProd[[#This Row],[Lumber]]</f>
        <v>63822</v>
      </c>
      <c r="BL89" s="97">
        <f ca="1">TblProd[[#This Row],[Mana]]</f>
        <v>0</v>
      </c>
      <c r="BM89" s="97">
        <f ca="1">TblProd[[#This Row],[Ore]]</f>
        <v>0</v>
      </c>
    </row>
    <row r="90" spans="1:65" x14ac:dyDescent="0.2">
      <c r="A90" s="140">
        <v>15</v>
      </c>
      <c r="B90" s="155">
        <f ca="1">TblImps[[#This Row],[Time]]</f>
        <v>44874.583333333125</v>
      </c>
      <c r="C90" s="156"/>
      <c r="D90" s="157"/>
      <c r="E90" s="97">
        <f ca="1">TblConstr[[#This Row],[Land]]</f>
        <v>250</v>
      </c>
      <c r="F90" s="97">
        <f ca="1">TblPop[[#This Row],[Peasants]]</f>
        <v>2038</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582741</v>
      </c>
      <c r="I90" s="97">
        <f ca="1">OFFSET(TblProd[[#This Row],[Food]],-1,0)+OFFSET(TblProd[[#This Row],[Food/hr]],-1,0)+ROUNDUP((TblConstr[[#This Row],[Farms]]*80+TblConstr[[#This Row],[Docks]]*35)*(1+OFFSET(TblProd[[#This Row],[Bonus Food/hr]],-1,0)),0)</f>
        <v>122883</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5670</v>
      </c>
      <c r="T90" s="97">
        <f ca="1">ROUND(TblProd[[#This Row],[Raw Food/hr]]*(1+TblProd[[#This Row],[Bonus Food/hr]])-TblProd[[#This Row],[Food decay]]-TblProd[[#This Row],[Food eaten]],0)</f>
        <v>767</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5670</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1228.83</v>
      </c>
      <c r="AP90" s="97">
        <f ca="1">(1+race_food_consumption)*TblPop[[#This Row],[Total]]*food_per_person*(1+tech_1_10*TblTech[[#This Row],[1-10]]+tech_7_5*TblTech[[#This Row],[7-5]])</f>
        <v>584.5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f>
        <v>0</v>
      </c>
      <c r="BD90" s="161"/>
      <c r="BE90" s="161"/>
      <c r="BF90" s="161"/>
      <c r="BG90" s="162">
        <f ca="1">TblProd[[#This Row],[Time]]</f>
        <v>44874.583333333125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582741</v>
      </c>
      <c r="BJ90" s="97">
        <f ca="1">TblProd[[#This Row],[Food]]</f>
        <v>122883</v>
      </c>
      <c r="BK90" s="97">
        <f ca="1">TblProd[[#This Row],[Lumber]]</f>
        <v>64184</v>
      </c>
      <c r="BL90" s="97">
        <f ca="1">TblProd[[#This Row],[Mana]]</f>
        <v>0</v>
      </c>
      <c r="BM90" s="97">
        <f ca="1">TblProd[[#This Row],[Ore]]</f>
        <v>0</v>
      </c>
    </row>
    <row r="91" spans="1:65" x14ac:dyDescent="0.2">
      <c r="A91" s="140">
        <v>16</v>
      </c>
      <c r="B91" s="155">
        <f ca="1">TblImps[[#This Row],[Time]]</f>
        <v>44874.624999999789</v>
      </c>
      <c r="C91" s="156"/>
      <c r="D91" s="157"/>
      <c r="E91" s="97">
        <f ca="1">TblConstr[[#This Row],[Land]]</f>
        <v>250</v>
      </c>
      <c r="F91" s="97">
        <f ca="1">TblPop[[#This Row],[Peasants]]</f>
        <v>2038</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588411</v>
      </c>
      <c r="I91" s="97">
        <f ca="1">OFFSET(TblProd[[#This Row],[Food]],-1,0)+OFFSET(TblProd[[#This Row],[Food/hr]],-1,0)+ROUNDUP((TblConstr[[#This Row],[Farms]]*80+TblConstr[[#This Row],[Docks]]*35)*(1+OFFSET(TblProd[[#This Row],[Bonus Food/hr]],-1,0)),0)</f>
        <v>123650</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5670</v>
      </c>
      <c r="T91" s="97">
        <f ca="1">ROUND(TblProd[[#This Row],[Raw Food/hr]]*(1+TblProd[[#This Row],[Bonus Food/hr]])-TblProd[[#This Row],[Food decay]]-TblProd[[#This Row],[Food eaten]],0)</f>
        <v>759</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5670</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1236.5</v>
      </c>
      <c r="AP91" s="97">
        <f ca="1">(1+race_food_consumption)*TblPop[[#This Row],[Total]]*food_per_person*(1+tech_1_10*TblTech[[#This Row],[1-10]]+tech_7_5*TblTech[[#This Row],[7-5]])</f>
        <v>584.5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f>
        <v>0</v>
      </c>
      <c r="BD91" s="161"/>
      <c r="BE91" s="161"/>
      <c r="BF91" s="161"/>
      <c r="BG91" s="162">
        <f ca="1">TblProd[[#This Row],[Time]]</f>
        <v>44874.624999999789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588411</v>
      </c>
      <c r="BJ91" s="97">
        <f ca="1">TblProd[[#This Row],[Food]]</f>
        <v>123650</v>
      </c>
      <c r="BK91" s="97">
        <f ca="1">TblProd[[#This Row],[Lumber]]</f>
        <v>64542</v>
      </c>
      <c r="BL91" s="97">
        <f ca="1">TblProd[[#This Row],[Mana]]</f>
        <v>0</v>
      </c>
      <c r="BM91" s="97">
        <f ca="1">TblProd[[#This Row],[Ore]]</f>
        <v>0</v>
      </c>
    </row>
    <row r="92" spans="1:65" x14ac:dyDescent="0.2">
      <c r="A92" s="140">
        <v>17</v>
      </c>
      <c r="B92" s="155">
        <f ca="1">TblImps[[#This Row],[Time]]</f>
        <v>44874.666666666453</v>
      </c>
      <c r="C92" s="156"/>
      <c r="D92" s="157"/>
      <c r="E92" s="97">
        <f ca="1">TblConstr[[#This Row],[Land]]</f>
        <v>250</v>
      </c>
      <c r="F92" s="97">
        <f ca="1">TblPop[[#This Row],[Peasants]]</f>
        <v>2038</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594081</v>
      </c>
      <c r="I92" s="97">
        <f ca="1">OFFSET(TblProd[[#This Row],[Food]],-1,0)+OFFSET(TblProd[[#This Row],[Food/hr]],-1,0)+ROUNDUP((TblConstr[[#This Row],[Farms]]*80+TblConstr[[#This Row],[Docks]]*35)*(1+OFFSET(TblProd[[#This Row],[Bonus Food/hr]],-1,0)),0)</f>
        <v>124409</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5670</v>
      </c>
      <c r="T92" s="97">
        <f ca="1">ROUND(TblProd[[#This Row],[Raw Food/hr]]*(1+TblProd[[#This Row],[Bonus Food/hr]])-TblProd[[#This Row],[Food decay]]-TblProd[[#This Row],[Food eaten]],0)</f>
        <v>751</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5670</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1244.0899999999999</v>
      </c>
      <c r="AP92" s="97">
        <f ca="1">(1+race_food_consumption)*TblPop[[#This Row],[Total]]*food_per_person*(1+tech_1_10*TblTech[[#This Row],[1-10]]+tech_7_5*TblTech[[#This Row],[7-5]])</f>
        <v>584.5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f>
        <v>0</v>
      </c>
      <c r="BD92" s="161"/>
      <c r="BE92" s="161"/>
      <c r="BF92" s="161"/>
      <c r="BG92" s="162">
        <f ca="1">TblProd[[#This Row],[Time]]</f>
        <v>44874.666666666453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594081</v>
      </c>
      <c r="BJ92" s="97">
        <f ca="1">TblProd[[#This Row],[Food]]</f>
        <v>124409</v>
      </c>
      <c r="BK92" s="97">
        <f ca="1">TblProd[[#This Row],[Lumber]]</f>
        <v>64897</v>
      </c>
      <c r="BL92" s="97">
        <f ca="1">TblProd[[#This Row],[Mana]]</f>
        <v>0</v>
      </c>
      <c r="BM92" s="97">
        <f ca="1">TblProd[[#This Row],[Ore]]</f>
        <v>0</v>
      </c>
    </row>
    <row r="93" spans="1:65" x14ac:dyDescent="0.2">
      <c r="A93" s="140">
        <v>18</v>
      </c>
      <c r="B93" s="155">
        <f ca="1">TblImps[[#This Row],[Time]]</f>
        <v>44874.708333333117</v>
      </c>
      <c r="C93" s="156"/>
      <c r="D93" s="157"/>
      <c r="E93" s="97">
        <f ca="1">TblConstr[[#This Row],[Land]]</f>
        <v>250</v>
      </c>
      <c r="F93" s="97">
        <f ca="1">TblPop[[#This Row],[Peasants]]</f>
        <v>2038</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599751</v>
      </c>
      <c r="I93" s="97">
        <f ca="1">OFFSET(TblProd[[#This Row],[Food]],-1,0)+OFFSET(TblProd[[#This Row],[Food/hr]],-1,0)+ROUNDUP((TblConstr[[#This Row],[Farms]]*80+TblConstr[[#This Row],[Docks]]*35)*(1+OFFSET(TblProd[[#This Row],[Bonus Food/hr]],-1,0)),0)</f>
        <v>125160</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5670</v>
      </c>
      <c r="T93" s="97">
        <f ca="1">ROUND(TblProd[[#This Row],[Raw Food/hr]]*(1+TblProd[[#This Row],[Bonus Food/hr]])-TblProd[[#This Row],[Food decay]]-TblProd[[#This Row],[Food eaten]],0)</f>
        <v>744</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5670</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1251.6000000000001</v>
      </c>
      <c r="AP93" s="97">
        <f ca="1">(1+race_food_consumption)*TblPop[[#This Row],[Total]]*food_per_person*(1+tech_1_10*TblTech[[#This Row],[1-10]]+tech_7_5*TblTech[[#This Row],[7-5]])</f>
        <v>584.5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f>
        <v>0</v>
      </c>
      <c r="BD93" s="161"/>
      <c r="BE93" s="161"/>
      <c r="BF93" s="161"/>
      <c r="BG93" s="162">
        <f ca="1">TblProd[[#This Row],[Time]]</f>
        <v>44874.708333333117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599751</v>
      </c>
      <c r="BJ93" s="97">
        <f ca="1">TblProd[[#This Row],[Food]]</f>
        <v>125160</v>
      </c>
      <c r="BK93" s="97">
        <f ca="1">TblProd[[#This Row],[Lumber]]</f>
        <v>65248</v>
      </c>
      <c r="BL93" s="97">
        <f ca="1">TblProd[[#This Row],[Mana]]</f>
        <v>0</v>
      </c>
      <c r="BM93" s="97">
        <f ca="1">TblProd[[#This Row],[Ore]]</f>
        <v>0</v>
      </c>
    </row>
    <row r="94" spans="1:65" x14ac:dyDescent="0.2">
      <c r="A94" s="140">
        <v>19</v>
      </c>
      <c r="B94" s="155">
        <f ca="1">TblImps[[#This Row],[Time]]</f>
        <v>44874.749999999782</v>
      </c>
      <c r="C94" s="156"/>
      <c r="D94" s="157"/>
      <c r="E94" s="97">
        <f ca="1">TblConstr[[#This Row],[Land]]</f>
        <v>250</v>
      </c>
      <c r="F94" s="97">
        <f ca="1">TblPop[[#This Row],[Peasants]]</f>
        <v>2038</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605421</v>
      </c>
      <c r="I94" s="97">
        <f ca="1">OFFSET(TblProd[[#This Row],[Food]],-1,0)+OFFSET(TblProd[[#This Row],[Food/hr]],-1,0)+ROUNDUP((TblConstr[[#This Row],[Farms]]*80+TblConstr[[#This Row],[Docks]]*35)*(1+OFFSET(TblProd[[#This Row],[Bonus Food/hr]],-1,0)),0)</f>
        <v>125904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5670</v>
      </c>
      <c r="T94" s="97">
        <f ca="1">ROUND(TblProd[[#This Row],[Raw Food/hr]]*(1+TblProd[[#This Row],[Bonus Food/hr]])-TblProd[[#This Row],[Food decay]]-TblProd[[#This Row],[Food eaten]],0)</f>
        <v>736</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5670</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1259.04</v>
      </c>
      <c r="AP94" s="97">
        <f ca="1">(1+race_food_consumption)*TblPop[[#This Row],[Total]]*food_per_person*(1+tech_1_10*TblTech[[#This Row],[1-10]]+tech_7_5*TblTech[[#This Row],[7-5]])</f>
        <v>584.5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f>
        <v>0</v>
      </c>
      <c r="BD94" s="161"/>
      <c r="BE94" s="161"/>
      <c r="BF94" s="161"/>
      <c r="BG94" s="162">
        <f ca="1">TblProd[[#This Row],[Time]]</f>
        <v>44874.749999999782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605421</v>
      </c>
      <c r="BJ94" s="97">
        <f ca="1">TblProd[[#This Row],[Food]]</f>
        <v>125904</v>
      </c>
      <c r="BK94" s="97">
        <f ca="1">TblProd[[#This Row],[Lumber]]</f>
        <v>65596</v>
      </c>
      <c r="BL94" s="97">
        <f ca="1">TblProd[[#This Row],[Mana]]</f>
        <v>0</v>
      </c>
      <c r="BM94" s="97">
        <f ca="1">TblProd[[#This Row],[Ore]]</f>
        <v>0</v>
      </c>
    </row>
    <row r="95" spans="1:65" x14ac:dyDescent="0.2">
      <c r="A95" s="140">
        <v>20</v>
      </c>
      <c r="B95" s="155">
        <f ca="1">TblImps[[#This Row],[Time]]</f>
        <v>44874.791666666446</v>
      </c>
      <c r="C95" s="156"/>
      <c r="D95" s="157"/>
      <c r="E95" s="97">
        <f ca="1">TblConstr[[#This Row],[Land]]</f>
        <v>250</v>
      </c>
      <c r="F95" s="97">
        <f ca="1">TblPop[[#This Row],[Peasants]]</f>
        <v>2038</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611091</v>
      </c>
      <c r="I95" s="97">
        <f ca="1">OFFSET(TblProd[[#This Row],[Food]],-1,0)+OFFSET(TblProd[[#This Row],[Food/hr]],-1,0)+ROUNDUP((TblConstr[[#This Row],[Farms]]*80+TblConstr[[#This Row],[Docks]]*35)*(1+OFFSET(TblProd[[#This Row],[Bonus Food/hr]],-1,0)),0)</f>
        <v>126640</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5670</v>
      </c>
      <c r="T95" s="97">
        <f ca="1">ROUND(TblProd[[#This Row],[Raw Food/hr]]*(1+TblProd[[#This Row],[Bonus Food/hr]])-TblProd[[#This Row],[Food decay]]-TblProd[[#This Row],[Food eaten]],0)</f>
        <v>729</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5670</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1266.4000000000001</v>
      </c>
      <c r="AP95" s="97">
        <f ca="1">(1+race_food_consumption)*TblPop[[#This Row],[Total]]*food_per_person*(1+tech_1_10*TblTech[[#This Row],[1-10]]+tech_7_5*TblTech[[#This Row],[7-5]])</f>
        <v>584.5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f>
        <v>0</v>
      </c>
      <c r="BD95" s="161"/>
      <c r="BE95" s="161"/>
      <c r="BF95" s="161"/>
      <c r="BG95" s="162">
        <f ca="1">TblProd[[#This Row],[Time]]</f>
        <v>44874.791666666446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611091</v>
      </c>
      <c r="BJ95" s="97">
        <f ca="1">TblProd[[#This Row],[Food]]</f>
        <v>126640</v>
      </c>
      <c r="BK95" s="97">
        <f ca="1">TblProd[[#This Row],[Lumber]]</f>
        <v>65940</v>
      </c>
      <c r="BL95" s="97">
        <f ca="1">TblProd[[#This Row],[Mana]]</f>
        <v>0</v>
      </c>
      <c r="BM95" s="97">
        <f ca="1">TblProd[[#This Row],[Ore]]</f>
        <v>0</v>
      </c>
    </row>
    <row r="96" spans="1:65" x14ac:dyDescent="0.2">
      <c r="A96" s="140">
        <v>21</v>
      </c>
      <c r="B96" s="155">
        <f ca="1">TblImps[[#This Row],[Time]]</f>
        <v>44874.83333333311</v>
      </c>
      <c r="C96" s="156"/>
      <c r="D96" s="157"/>
      <c r="E96" s="97">
        <f ca="1">TblConstr[[#This Row],[Land]]</f>
        <v>250</v>
      </c>
      <c r="F96" s="97">
        <f ca="1">TblPop[[#This Row],[Peasants]]</f>
        <v>2038</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616761</v>
      </c>
      <c r="I96" s="97">
        <f ca="1">OFFSET(TblProd[[#This Row],[Food]],-1,0)+OFFSET(TblProd[[#This Row],[Food/hr]],-1,0)+ROUNDUP((TblConstr[[#This Row],[Farms]]*80+TblConstr[[#This Row],[Docks]]*35)*(1+OFFSET(TblProd[[#This Row],[Bonus Food/hr]],-1,0)),0)</f>
        <v>127369</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5670</v>
      </c>
      <c r="T96" s="97">
        <f ca="1">ROUND(TblProd[[#This Row],[Raw Food/hr]]*(1+TblProd[[#This Row],[Bonus Food/hr]])-TblProd[[#This Row],[Food decay]]-TblProd[[#This Row],[Food eaten]],0)</f>
        <v>722</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5670</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1273.69</v>
      </c>
      <c r="AP96" s="97">
        <f ca="1">(1+race_food_consumption)*TblPop[[#This Row],[Total]]*food_per_person*(1+tech_1_10*TblTech[[#This Row],[1-10]]+tech_7_5*TblTech[[#This Row],[7-5]])</f>
        <v>584.5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f>
        <v>0</v>
      </c>
      <c r="BD96" s="161"/>
      <c r="BE96" s="161"/>
      <c r="BF96" s="161"/>
      <c r="BG96" s="162">
        <f ca="1">TblProd[[#This Row],[Time]]</f>
        <v>44874.83333333311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616761</v>
      </c>
      <c r="BJ96" s="97">
        <f ca="1">TblProd[[#This Row],[Food]]</f>
        <v>127369</v>
      </c>
      <c r="BK96" s="97">
        <f ca="1">TblProd[[#This Row],[Lumber]]</f>
        <v>66281</v>
      </c>
      <c r="BL96" s="97">
        <f ca="1">TblProd[[#This Row],[Mana]]</f>
        <v>0</v>
      </c>
      <c r="BM96" s="97">
        <f ca="1">TblProd[[#This Row],[Ore]]</f>
        <v>0</v>
      </c>
    </row>
    <row r="97" spans="1:65" x14ac:dyDescent="0.2">
      <c r="A97" s="140">
        <v>22</v>
      </c>
      <c r="B97" s="155">
        <f ca="1">TblImps[[#This Row],[Time]]</f>
        <v>44874.874999999774</v>
      </c>
      <c r="C97" s="156"/>
      <c r="D97" s="157"/>
      <c r="E97" s="97">
        <f ca="1">TblConstr[[#This Row],[Land]]</f>
        <v>250</v>
      </c>
      <c r="F97" s="97">
        <f ca="1">TblPop[[#This Row],[Peasants]]</f>
        <v>2038</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622431</v>
      </c>
      <c r="I97" s="97">
        <f ca="1">OFFSET(TblProd[[#This Row],[Food]],-1,0)+OFFSET(TblProd[[#This Row],[Food/hr]],-1,0)+ROUNDUP((TblConstr[[#This Row],[Farms]]*80+TblConstr[[#This Row],[Docks]]*35)*(1+OFFSET(TblProd[[#This Row],[Bonus Food/hr]],-1,0)),0)</f>
        <v>128091</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5670</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5670</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1280.9100000000001</v>
      </c>
      <c r="AP97" s="97">
        <f ca="1">(1+race_food_consumption)*TblPop[[#This Row],[Total]]*food_per_person*(1+tech_1_10*TblTech[[#This Row],[1-10]]+tech_7_5*TblTech[[#This Row],[7-5]])</f>
        <v>584.5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f>
        <v>0</v>
      </c>
      <c r="BD97" s="161"/>
      <c r="BE97" s="161"/>
      <c r="BF97" s="161"/>
      <c r="BG97" s="162">
        <f ca="1">TblProd[[#This Row],[Time]]</f>
        <v>44874.874999999774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622431</v>
      </c>
      <c r="BJ97" s="97">
        <f ca="1">TblProd[[#This Row],[Food]]</f>
        <v>128091</v>
      </c>
      <c r="BK97" s="97">
        <f ca="1">TblProd[[#This Row],[Lumber]]</f>
        <v>66618</v>
      </c>
      <c r="BL97" s="97">
        <f ca="1">TblProd[[#This Row],[Mana]]</f>
        <v>0</v>
      </c>
      <c r="BM97" s="97">
        <f ca="1">TblProd[[#This Row],[Ore]]</f>
        <v>0</v>
      </c>
    </row>
    <row r="98" spans="1:65" x14ac:dyDescent="0.2">
      <c r="A98" s="140">
        <v>23</v>
      </c>
      <c r="B98" s="155">
        <f ca="1">TblImps[[#This Row],[Time]]</f>
        <v>44874.916666666439</v>
      </c>
      <c r="C98" s="156"/>
      <c r="D98" s="157"/>
      <c r="E98" s="97">
        <f ca="1">TblConstr[[#This Row],[Land]]</f>
        <v>250</v>
      </c>
      <c r="F98" s="97">
        <f ca="1">TblPop[[#This Row],[Peasants]]</f>
        <v>2038</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628101</v>
      </c>
      <c r="I98" s="97">
        <f ca="1">OFFSET(TblProd[[#This Row],[Food]],-1,0)+OFFSET(TblProd[[#This Row],[Food/hr]],-1,0)+ROUNDUP((TblConstr[[#This Row],[Farms]]*80+TblConstr[[#This Row],[Docks]]*35)*(1+OFFSET(TblProd[[#This Row],[Bonus Food/hr]],-1,0)),0)</f>
        <v>128806</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5670</v>
      </c>
      <c r="T98" s="97">
        <f ca="1">ROUND(TblProd[[#This Row],[Raw Food/hr]]*(1+TblProd[[#This Row],[Bonus Food/hr]])-TblProd[[#This Row],[Food decay]]-TblProd[[#This Row],[Food eaten]],0)</f>
        <v>707</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5670</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1288.06</v>
      </c>
      <c r="AP98" s="97">
        <f ca="1">(1+race_food_consumption)*TblPop[[#This Row],[Total]]*food_per_person*(1+tech_1_10*TblTech[[#This Row],[1-10]]+tech_7_5*TblTech[[#This Row],[7-5]])</f>
        <v>584.5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f>
        <v>0</v>
      </c>
      <c r="BD98" s="161"/>
      <c r="BE98" s="161"/>
      <c r="BF98" s="161"/>
      <c r="BG98" s="162">
        <f ca="1">TblProd[[#This Row],[Time]]</f>
        <v>44874.916666666439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628101</v>
      </c>
      <c r="BJ98" s="97">
        <f ca="1">TblProd[[#This Row],[Food]]</f>
        <v>128806</v>
      </c>
      <c r="BK98" s="97">
        <f ca="1">TblProd[[#This Row],[Lumber]]</f>
        <v>66952</v>
      </c>
      <c r="BL98" s="97">
        <f ca="1">TblProd[[#This Row],[Mana]]</f>
        <v>0</v>
      </c>
      <c r="BM98" s="97">
        <f ca="1">TblProd[[#This Row],[Ore]]</f>
        <v>0</v>
      </c>
    </row>
    <row r="99" spans="1:65" x14ac:dyDescent="0.2">
      <c r="A99" s="140">
        <v>24</v>
      </c>
      <c r="B99" s="155">
        <f ca="1">TblImps[[#This Row],[Time]]</f>
        <v>44874.958333333103</v>
      </c>
      <c r="C99" s="156"/>
      <c r="D99" s="157"/>
      <c r="E99" s="97">
        <f ca="1">TblConstr[[#This Row],[Land]]</f>
        <v>250</v>
      </c>
      <c r="F99" s="97">
        <f ca="1">TblPop[[#This Row],[Peasants]]</f>
        <v>2038</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633771</v>
      </c>
      <c r="I99" s="97">
        <f ca="1">OFFSET(TblProd[[#This Row],[Food]],-1,0)+OFFSET(TblProd[[#This Row],[Food/hr]],-1,0)+ROUNDUP((TblConstr[[#This Row],[Farms]]*80+TblConstr[[#This Row],[Docks]]*35)*(1+OFFSET(TblProd[[#This Row],[Bonus Food/hr]],-1,0)),0)</f>
        <v>129513</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5670</v>
      </c>
      <c r="T99" s="97">
        <f ca="1">ROUND(TblProd[[#This Row],[Raw Food/hr]]*(1+TblProd[[#This Row],[Bonus Food/hr]])-TblProd[[#This Row],[Food decay]]-TblProd[[#This Row],[Food eaten]],0)</f>
        <v>700</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5670</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1295.1300000000001</v>
      </c>
      <c r="AP99" s="97">
        <f ca="1">(1+race_food_consumption)*TblPop[[#This Row],[Total]]*food_per_person*(1+tech_1_10*TblTech[[#This Row],[1-10]]+tech_7_5*TblTech[[#This Row],[7-5]])</f>
        <v>584.5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f>
        <v>0</v>
      </c>
      <c r="BD99" s="161"/>
      <c r="BE99" s="161"/>
      <c r="BF99" s="161"/>
      <c r="BG99" s="162">
        <f ca="1">TblProd[[#This Row],[Time]]</f>
        <v>44874.958333333103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633771</v>
      </c>
      <c r="BJ99" s="97">
        <f ca="1">TblProd[[#This Row],[Food]]</f>
        <v>129513</v>
      </c>
      <c r="BK99" s="97">
        <f ca="1">TblProd[[#This Row],[Lumber]]</f>
        <v>67282</v>
      </c>
      <c r="BL99" s="97">
        <f ca="1">TblProd[[#This Row],[Mana]]</f>
        <v>0</v>
      </c>
      <c r="BM99" s="97">
        <f ca="1">TblProd[[#This Row],[Ore]]</f>
        <v>0</v>
      </c>
    </row>
    <row r="100" spans="1:65" x14ac:dyDescent="0.2">
      <c r="A100" s="140">
        <v>25</v>
      </c>
      <c r="B100" s="155">
        <f ca="1">TblImps[[#This Row],[Time]]</f>
        <v>44874.999999999767</v>
      </c>
      <c r="C100" s="156"/>
      <c r="D100" s="157"/>
      <c r="E100" s="97">
        <f ca="1">TblConstr[[#This Row],[Land]]</f>
        <v>250</v>
      </c>
      <c r="F100" s="97">
        <f ca="1">TblPop[[#This Row],[Peasants]]</f>
        <v>2038</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639441</v>
      </c>
      <c r="I100" s="97">
        <f ca="1">OFFSET(TblProd[[#This Row],[Food]],-1,0)+OFFSET(TblProd[[#This Row],[Food/hr]],-1,0)+ROUNDUP((TblConstr[[#This Row],[Farms]]*80+TblConstr[[#This Row],[Docks]]*35)*(1+OFFSET(TblProd[[#This Row],[Bonus Food/hr]],-1,0)),0)</f>
        <v>130213</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5670</v>
      </c>
      <c r="T100" s="97">
        <f ca="1">ROUND(TblProd[[#This Row],[Raw Food/hr]]*(1+TblProd[[#This Row],[Bonus Food/hr]])-TblProd[[#This Row],[Food decay]]-TblProd[[#This Row],[Food eaten]],0)</f>
        <v>693</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5670</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1302.1300000000001</v>
      </c>
      <c r="AP100" s="97">
        <f ca="1">(1+race_food_consumption)*TblPop[[#This Row],[Total]]*food_per_person*(1+tech_1_10*TblTech[[#This Row],[1-10]]+tech_7_5*TblTech[[#This Row],[7-5]])</f>
        <v>584.5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f>
        <v>0</v>
      </c>
      <c r="BD100" s="161"/>
      <c r="BE100" s="161"/>
      <c r="BF100" s="161"/>
      <c r="BG100" s="162">
        <f ca="1">TblProd[[#This Row],[Time]]</f>
        <v>44874.999999999767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639441</v>
      </c>
      <c r="BJ100" s="97">
        <f ca="1">TblProd[[#This Row],[Food]]</f>
        <v>130213</v>
      </c>
      <c r="BK100" s="97">
        <f ca="1">TblProd[[#This Row],[Lumber]]</f>
        <v>67609</v>
      </c>
      <c r="BL100" s="97">
        <f ca="1">TblProd[[#This Row],[Mana]]</f>
        <v>0</v>
      </c>
      <c r="BM100" s="97">
        <f ca="1">TblProd[[#This Row],[Ore]]</f>
        <v>0</v>
      </c>
    </row>
    <row r="101" spans="1:65" x14ac:dyDescent="0.2">
      <c r="A101" s="140">
        <v>26</v>
      </c>
      <c r="B101" s="155">
        <f ca="1">TblImps[[#This Row],[Time]]</f>
        <v>44875.041666666431</v>
      </c>
      <c r="C101" s="156"/>
      <c r="D101" s="157"/>
      <c r="E101" s="97">
        <f ca="1">TblConstr[[#This Row],[Land]]</f>
        <v>250</v>
      </c>
      <c r="F101" s="97">
        <f ca="1">TblPop[[#This Row],[Peasants]]</f>
        <v>2038</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645111</v>
      </c>
      <c r="I101" s="97">
        <f ca="1">OFFSET(TblProd[[#This Row],[Food]],-1,0)+OFFSET(TblProd[[#This Row],[Food/hr]],-1,0)+ROUNDUP((TblConstr[[#This Row],[Farms]]*80+TblConstr[[#This Row],[Docks]]*35)*(1+OFFSET(TblProd[[#This Row],[Bonus Food/hr]],-1,0)),0)</f>
        <v>130906</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5670</v>
      </c>
      <c r="T101" s="97">
        <f ca="1">ROUND(TblProd[[#This Row],[Raw Food/hr]]*(1+TblProd[[#This Row],[Bonus Food/hr]])-TblProd[[#This Row],[Food decay]]-TblProd[[#This Row],[Food eaten]],0)</f>
        <v>686</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5670</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1309.06</v>
      </c>
      <c r="AP101" s="97">
        <f ca="1">(1+race_food_consumption)*TblPop[[#This Row],[Total]]*food_per_person*(1+tech_1_10*TblTech[[#This Row],[1-10]]+tech_7_5*TblTech[[#This Row],[7-5]])</f>
        <v>584.5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f>
        <v>0</v>
      </c>
      <c r="BD101" s="161"/>
      <c r="BE101" s="161"/>
      <c r="BF101" s="161"/>
      <c r="BG101" s="162">
        <f ca="1">TblProd[[#This Row],[Time]]</f>
        <v>44875.041666666431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645111</v>
      </c>
      <c r="BJ101" s="97">
        <f ca="1">TblProd[[#This Row],[Food]]</f>
        <v>130906</v>
      </c>
      <c r="BK101" s="97">
        <f ca="1">TblProd[[#This Row],[Lumber]]</f>
        <v>67933</v>
      </c>
      <c r="BL101" s="97">
        <f ca="1">TblProd[[#This Row],[Mana]]</f>
        <v>0</v>
      </c>
      <c r="BM101" s="97">
        <f ca="1">TblProd[[#This Row],[Ore]]</f>
        <v>0</v>
      </c>
    </row>
    <row r="102" spans="1:65" x14ac:dyDescent="0.2">
      <c r="A102" s="140">
        <v>27</v>
      </c>
      <c r="B102" s="155">
        <f ca="1">TblImps[[#This Row],[Time]]</f>
        <v>44875.083333333096</v>
      </c>
      <c r="C102" s="156"/>
      <c r="D102" s="157"/>
      <c r="E102" s="97">
        <f ca="1">TblConstr[[#This Row],[Land]]</f>
        <v>250</v>
      </c>
      <c r="F102" s="97">
        <f ca="1">TblPop[[#This Row],[Peasants]]</f>
        <v>2038</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650781</v>
      </c>
      <c r="I102" s="97">
        <f ca="1">OFFSET(TblProd[[#This Row],[Food]],-1,0)+OFFSET(TblProd[[#This Row],[Food/hr]],-1,0)+ROUNDUP((TblConstr[[#This Row],[Farms]]*80+TblConstr[[#This Row],[Docks]]*35)*(1+OFFSET(TblProd[[#This Row],[Bonus Food/hr]],-1,0)),0)</f>
        <v>131592</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5670</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5670</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1315.92</v>
      </c>
      <c r="AP102" s="97">
        <f ca="1">(1+race_food_consumption)*TblPop[[#This Row],[Total]]*food_per_person*(1+tech_1_10*TblTech[[#This Row],[1-10]]+tech_7_5*TblTech[[#This Row],[7-5]])</f>
        <v>584.5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f>
        <v>0</v>
      </c>
      <c r="BD102" s="161"/>
      <c r="BE102" s="161"/>
      <c r="BF102" s="161"/>
      <c r="BG102" s="162">
        <f ca="1">TblProd[[#This Row],[Time]]</f>
        <v>44875.083333333096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650781</v>
      </c>
      <c r="BJ102" s="97">
        <f ca="1">TblProd[[#This Row],[Food]]</f>
        <v>131592</v>
      </c>
      <c r="BK102" s="97">
        <f ca="1">TblProd[[#This Row],[Lumber]]</f>
        <v>68254</v>
      </c>
      <c r="BL102" s="97">
        <f ca="1">TblProd[[#This Row],[Mana]]</f>
        <v>0</v>
      </c>
      <c r="BM102" s="97">
        <f ca="1">TblProd[[#This Row],[Ore]]</f>
        <v>0</v>
      </c>
    </row>
    <row r="103" spans="1:65" x14ac:dyDescent="0.2">
      <c r="A103" s="140">
        <v>28</v>
      </c>
      <c r="B103" s="155">
        <f ca="1">TblImps[[#This Row],[Time]]</f>
        <v>44875.12499999976</v>
      </c>
      <c r="C103" s="156"/>
      <c r="D103" s="157"/>
      <c r="E103" s="97">
        <f ca="1">TblConstr[[#This Row],[Land]]</f>
        <v>250</v>
      </c>
      <c r="F103" s="97">
        <f ca="1">TblPop[[#This Row],[Peasants]]</f>
        <v>2038</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656451</v>
      </c>
      <c r="I103" s="97">
        <f ca="1">OFFSET(TblProd[[#This Row],[Food]],-1,0)+OFFSET(TblProd[[#This Row],[Food/hr]],-1,0)+ROUNDUP((TblConstr[[#This Row],[Farms]]*80+TblConstr[[#This Row],[Docks]]*35)*(1+OFFSET(TblProd[[#This Row],[Bonus Food/hr]],-1,0)),0)</f>
        <v>132272</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5670</v>
      </c>
      <c r="T103" s="97">
        <f ca="1">ROUND(TblProd[[#This Row],[Raw Food/hr]]*(1+TblProd[[#This Row],[Bonus Food/hr]])-TblProd[[#This Row],[Food decay]]-TblProd[[#This Row],[Food eaten]],0)</f>
        <v>673</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5670</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1322.72</v>
      </c>
      <c r="AP103" s="97">
        <f ca="1">(1+race_food_consumption)*TblPop[[#This Row],[Total]]*food_per_person*(1+tech_1_10*TblTech[[#This Row],[1-10]]+tech_7_5*TblTech[[#This Row],[7-5]])</f>
        <v>584.5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f>
        <v>0</v>
      </c>
      <c r="BD103" s="161"/>
      <c r="BE103" s="161"/>
      <c r="BF103" s="161"/>
      <c r="BG103" s="162">
        <f ca="1">TblProd[[#This Row],[Time]]</f>
        <v>44875.12499999976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656451</v>
      </c>
      <c r="BJ103" s="97">
        <f ca="1">TblProd[[#This Row],[Food]]</f>
        <v>132272</v>
      </c>
      <c r="BK103" s="97">
        <f ca="1">TblProd[[#This Row],[Lumber]]</f>
        <v>68571</v>
      </c>
      <c r="BL103" s="97">
        <f ca="1">TblProd[[#This Row],[Mana]]</f>
        <v>0</v>
      </c>
      <c r="BM103" s="97">
        <f ca="1">TblProd[[#This Row],[Ore]]</f>
        <v>0</v>
      </c>
    </row>
    <row r="104" spans="1:65" x14ac:dyDescent="0.2">
      <c r="A104" s="140">
        <v>29</v>
      </c>
      <c r="B104" s="155">
        <f ca="1">TblImps[[#This Row],[Time]]</f>
        <v>44875.166666666424</v>
      </c>
      <c r="C104" s="156"/>
      <c r="D104" s="157"/>
      <c r="E104" s="97">
        <f ca="1">TblConstr[[#This Row],[Land]]</f>
        <v>250</v>
      </c>
      <c r="F104" s="97">
        <f ca="1">TblPop[[#This Row],[Peasants]]</f>
        <v>2038</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662121</v>
      </c>
      <c r="I104" s="97">
        <f ca="1">OFFSET(TblProd[[#This Row],[Food]],-1,0)+OFFSET(TblProd[[#This Row],[Food/hr]],-1,0)+ROUNDUP((TblConstr[[#This Row],[Farms]]*80+TblConstr[[#This Row],[Docks]]*35)*(1+OFFSET(TblProd[[#This Row],[Bonus Food/hr]],-1,0)),0)</f>
        <v>132945</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5670</v>
      </c>
      <c r="T104" s="97">
        <f ca="1">ROUND(TblProd[[#This Row],[Raw Food/hr]]*(1+TblProd[[#This Row],[Bonus Food/hr]])-TblProd[[#This Row],[Food decay]]-TblProd[[#This Row],[Food eaten]],0)</f>
        <v>666</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5670</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1329.45</v>
      </c>
      <c r="AP104" s="97">
        <f ca="1">(1+race_food_consumption)*TblPop[[#This Row],[Total]]*food_per_person*(1+tech_1_10*TblTech[[#This Row],[1-10]]+tech_7_5*TblTech[[#This Row],[7-5]])</f>
        <v>584.5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f>
        <v>0</v>
      </c>
      <c r="BD104" s="161"/>
      <c r="BE104" s="161"/>
      <c r="BF104" s="161"/>
      <c r="BG104" s="162">
        <f ca="1">TblProd[[#This Row],[Time]]</f>
        <v>44875.166666666424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662121</v>
      </c>
      <c r="BJ104" s="97">
        <f ca="1">TblProd[[#This Row],[Food]]</f>
        <v>132945</v>
      </c>
      <c r="BK104" s="97">
        <f ca="1">TblProd[[#This Row],[Lumber]]</f>
        <v>68885</v>
      </c>
      <c r="BL104" s="97">
        <f ca="1">TblProd[[#This Row],[Mana]]</f>
        <v>0</v>
      </c>
      <c r="BM104" s="97">
        <f ca="1">TblProd[[#This Row],[Ore]]</f>
        <v>0</v>
      </c>
    </row>
    <row r="105" spans="1:65" x14ac:dyDescent="0.2">
      <c r="A105" s="140">
        <v>30</v>
      </c>
      <c r="B105" s="155">
        <f ca="1">TblImps[[#This Row],[Time]]</f>
        <v>44875.208333333088</v>
      </c>
      <c r="C105" s="156"/>
      <c r="D105" s="157"/>
      <c r="E105" s="97">
        <f ca="1">TblConstr[[#This Row],[Land]]</f>
        <v>250</v>
      </c>
      <c r="F105" s="97">
        <f ca="1">TblPop[[#This Row],[Peasants]]</f>
        <v>2038</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667791</v>
      </c>
      <c r="I105" s="97">
        <f ca="1">OFFSET(TblProd[[#This Row],[Food]],-1,0)+OFFSET(TblProd[[#This Row],[Food/hr]],-1,0)+ROUNDUP((TblConstr[[#This Row],[Farms]]*80+TblConstr[[#This Row],[Docks]]*35)*(1+OFFSET(TblProd[[#This Row],[Bonus Food/hr]],-1,0)),0)</f>
        <v>133611</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5670</v>
      </c>
      <c r="T105" s="97">
        <f ca="1">ROUND(TblProd[[#This Row],[Raw Food/hr]]*(1+TblProd[[#This Row],[Bonus Food/hr]])-TblProd[[#This Row],[Food decay]]-TblProd[[#This Row],[Food eaten]],0)</f>
        <v>659</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5670</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1336.1100000000001</v>
      </c>
      <c r="AP105" s="97">
        <f ca="1">(1+race_food_consumption)*TblPop[[#This Row],[Total]]*food_per_person*(1+tech_1_10*TblTech[[#This Row],[1-10]]+tech_7_5*TblTech[[#This Row],[7-5]])</f>
        <v>584.5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f>
        <v>0</v>
      </c>
      <c r="BD105" s="161"/>
      <c r="BE105" s="161"/>
      <c r="BF105" s="161"/>
      <c r="BG105" s="162">
        <f ca="1">TblProd[[#This Row],[Time]]</f>
        <v>44875.208333333088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667791</v>
      </c>
      <c r="BJ105" s="97">
        <f ca="1">TblProd[[#This Row],[Food]]</f>
        <v>133611</v>
      </c>
      <c r="BK105" s="97">
        <f ca="1">TblProd[[#This Row],[Lumber]]</f>
        <v>69196</v>
      </c>
      <c r="BL105" s="97">
        <f ca="1">TblProd[[#This Row],[Mana]]</f>
        <v>0</v>
      </c>
      <c r="BM105" s="97">
        <f ca="1">TblProd[[#This Row],[Ore]]</f>
        <v>0</v>
      </c>
    </row>
    <row r="106" spans="1:65" x14ac:dyDescent="0.2">
      <c r="A106" s="140">
        <v>31</v>
      </c>
      <c r="B106" s="155">
        <f ca="1">TblImps[[#This Row],[Time]]</f>
        <v>44875.249999999753</v>
      </c>
      <c r="C106" s="156"/>
      <c r="D106" s="157"/>
      <c r="E106" s="97">
        <f ca="1">TblConstr[[#This Row],[Land]]</f>
        <v>250</v>
      </c>
      <c r="F106" s="97">
        <f ca="1">TblPop[[#This Row],[Peasants]]</f>
        <v>2038</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673461</v>
      </c>
      <c r="I106" s="97">
        <f ca="1">OFFSET(TblProd[[#This Row],[Food]],-1,0)+OFFSET(TblProd[[#This Row],[Food/hr]],-1,0)+ROUNDUP((TblConstr[[#This Row],[Farms]]*80+TblConstr[[#This Row],[Docks]]*35)*(1+OFFSET(TblProd[[#This Row],[Bonus Food/hr]],-1,0)),0)</f>
        <v>134270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5670</v>
      </c>
      <c r="T106" s="97">
        <f ca="1">ROUND(TblProd[[#This Row],[Raw Food/hr]]*(1+TblProd[[#This Row],[Bonus Food/hr]])-TblProd[[#This Row],[Food decay]]-TblProd[[#This Row],[Food eaten]],0)</f>
        <v>653</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5670</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1342.7</v>
      </c>
      <c r="AP106" s="97">
        <f ca="1">(1+race_food_consumption)*TblPop[[#This Row],[Total]]*food_per_person*(1+tech_1_10*TblTech[[#This Row],[1-10]]+tech_7_5*TblTech[[#This Row],[7-5]])</f>
        <v>584.5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f>
        <v>0</v>
      </c>
      <c r="BD106" s="161"/>
      <c r="BE106" s="161"/>
      <c r="BF106" s="161"/>
      <c r="BG106" s="162">
        <f ca="1">TblProd[[#This Row],[Time]]</f>
        <v>44875.249999999753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673461</v>
      </c>
      <c r="BJ106" s="97">
        <f ca="1">TblProd[[#This Row],[Food]]</f>
        <v>134270</v>
      </c>
      <c r="BK106" s="97">
        <f ca="1">TblProd[[#This Row],[Lumber]]</f>
        <v>69504</v>
      </c>
      <c r="BL106" s="97">
        <f ca="1">TblProd[[#This Row],[Mana]]</f>
        <v>0</v>
      </c>
      <c r="BM106" s="97">
        <f ca="1">TblProd[[#This Row],[Ore]]</f>
        <v>0</v>
      </c>
    </row>
    <row r="107" spans="1:65" x14ac:dyDescent="0.2">
      <c r="A107" s="140">
        <v>32</v>
      </c>
      <c r="B107" s="155">
        <f ca="1">TblImps[[#This Row],[Time]]</f>
        <v>44875.291666666417</v>
      </c>
      <c r="C107" s="156"/>
      <c r="D107" s="157"/>
      <c r="E107" s="97">
        <f ca="1">TblConstr[[#This Row],[Land]]</f>
        <v>250</v>
      </c>
      <c r="F107" s="97">
        <f ca="1">TblPop[[#This Row],[Peasants]]</f>
        <v>2038</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679131</v>
      </c>
      <c r="I107" s="97">
        <f ca="1">OFFSET(TblProd[[#This Row],[Food]],-1,0)+OFFSET(TblProd[[#This Row],[Food/hr]],-1,0)+ROUNDUP((TblConstr[[#This Row],[Farms]]*80+TblConstr[[#This Row],[Docks]]*35)*(1+OFFSET(TblProd[[#This Row],[Bonus Food/hr]],-1,0)),0)</f>
        <v>134923</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5670</v>
      </c>
      <c r="T107" s="97">
        <f ca="1">ROUND(TblProd[[#This Row],[Raw Food/hr]]*(1+TblProd[[#This Row],[Bonus Food/hr]])-TblProd[[#This Row],[Food decay]]-TblProd[[#This Row],[Food eaten]],0)</f>
        <v>646</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5670</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1349.23</v>
      </c>
      <c r="AP107" s="97">
        <f ca="1">(1+race_food_consumption)*TblPop[[#This Row],[Total]]*food_per_person*(1+tech_1_10*TblTech[[#This Row],[1-10]]+tech_7_5*TblTech[[#This Row],[7-5]])</f>
        <v>584.5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f>
        <v>0</v>
      </c>
      <c r="BD107" s="161"/>
      <c r="BE107" s="161"/>
      <c r="BF107" s="161"/>
      <c r="BG107" s="162">
        <f ca="1">TblProd[[#This Row],[Time]]</f>
        <v>44875.291666666417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679131</v>
      </c>
      <c r="BJ107" s="97">
        <f ca="1">TblProd[[#This Row],[Food]]</f>
        <v>134923</v>
      </c>
      <c r="BK107" s="97">
        <f ca="1">TblProd[[#This Row],[Lumber]]</f>
        <v>69809</v>
      </c>
      <c r="BL107" s="97">
        <f ca="1">TblProd[[#This Row],[Mana]]</f>
        <v>0</v>
      </c>
      <c r="BM107" s="97">
        <f ca="1">TblProd[[#This Row],[Ore]]</f>
        <v>0</v>
      </c>
    </row>
    <row r="108" spans="1:65" x14ac:dyDescent="0.2">
      <c r="A108" s="140">
        <v>33</v>
      </c>
      <c r="B108" s="155">
        <f ca="1">TblImps[[#This Row],[Time]]</f>
        <v>44875.333333333081</v>
      </c>
      <c r="C108" s="156"/>
      <c r="D108" s="157"/>
      <c r="E108" s="97">
        <f ca="1">TblConstr[[#This Row],[Land]]</f>
        <v>250</v>
      </c>
      <c r="F108" s="97">
        <f ca="1">TblPop[[#This Row],[Peasants]]</f>
        <v>2038</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684801</v>
      </c>
      <c r="I108" s="97">
        <f ca="1">OFFSET(TblProd[[#This Row],[Food]],-1,0)+OFFSET(TblProd[[#This Row],[Food/hr]],-1,0)+ROUNDUP((TblConstr[[#This Row],[Farms]]*80+TblConstr[[#This Row],[Docks]]*35)*(1+OFFSET(TblProd[[#This Row],[Bonus Food/hr]],-1,0)),0)</f>
        <v>135569</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5670</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5670</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1355.69</v>
      </c>
      <c r="AP108" s="97">
        <f ca="1">(1+race_food_consumption)*TblPop[[#This Row],[Total]]*food_per_person*(1+tech_1_10*TblTech[[#This Row],[1-10]]+tech_7_5*TblTech[[#This Row],[7-5]])</f>
        <v>584.5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f>
        <v>0</v>
      </c>
      <c r="BD108" s="161"/>
      <c r="BE108" s="161"/>
      <c r="BF108" s="161"/>
      <c r="BG108" s="162">
        <f ca="1">TblProd[[#This Row],[Time]]</f>
        <v>44875.333333333081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684801</v>
      </c>
      <c r="BJ108" s="97">
        <f ca="1">TblProd[[#This Row],[Food]]</f>
        <v>135569</v>
      </c>
      <c r="BK108" s="97">
        <f ca="1">TblProd[[#This Row],[Lumber]]</f>
        <v>70111</v>
      </c>
      <c r="BL108" s="97">
        <f ca="1">TblProd[[#This Row],[Mana]]</f>
        <v>0</v>
      </c>
      <c r="BM108" s="97">
        <f ca="1">TblProd[[#This Row],[Ore]]</f>
        <v>0</v>
      </c>
    </row>
    <row r="109" spans="1:65" x14ac:dyDescent="0.2">
      <c r="A109" s="140">
        <v>34</v>
      </c>
      <c r="B109" s="155">
        <f ca="1">TblImps[[#This Row],[Time]]</f>
        <v>44875.374999999745</v>
      </c>
      <c r="C109" s="156"/>
      <c r="D109" s="157"/>
      <c r="E109" s="97">
        <f ca="1">TblConstr[[#This Row],[Land]]</f>
        <v>250</v>
      </c>
      <c r="F109" s="97">
        <f ca="1">TblPop[[#This Row],[Peasants]]</f>
        <v>2038</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690471</v>
      </c>
      <c r="I109" s="97">
        <f ca="1">OFFSET(TblProd[[#This Row],[Food]],-1,0)+OFFSET(TblProd[[#This Row],[Food/hr]],-1,0)+ROUNDUP((TblConstr[[#This Row],[Farms]]*80+TblConstr[[#This Row],[Docks]]*35)*(1+OFFSET(TblProd[[#This Row],[Bonus Food/hr]],-1,0)),0)</f>
        <v>136209</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5670</v>
      </c>
      <c r="T109" s="97">
        <f ca="1">ROUND(TblProd[[#This Row],[Raw Food/hr]]*(1+TblProd[[#This Row],[Bonus Food/hr]])-TblProd[[#This Row],[Food decay]]-TblProd[[#This Row],[Food eaten]],0)</f>
        <v>633</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5670</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1362.09</v>
      </c>
      <c r="AP109" s="97">
        <f ca="1">(1+race_food_consumption)*TblPop[[#This Row],[Total]]*food_per_person*(1+tech_1_10*TblTech[[#This Row],[1-10]]+tech_7_5*TblTech[[#This Row],[7-5]])</f>
        <v>584.5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f>
        <v>0</v>
      </c>
      <c r="BD109" s="161"/>
      <c r="BE109" s="161"/>
      <c r="BF109" s="161"/>
      <c r="BG109" s="162">
        <f ca="1">TblProd[[#This Row],[Time]]</f>
        <v>44875.374999999745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690471</v>
      </c>
      <c r="BJ109" s="97">
        <f ca="1">TblProd[[#This Row],[Food]]</f>
        <v>136209</v>
      </c>
      <c r="BK109" s="97">
        <f ca="1">TblProd[[#This Row],[Lumber]]</f>
        <v>70410</v>
      </c>
      <c r="BL109" s="97">
        <f ca="1">TblProd[[#This Row],[Mana]]</f>
        <v>0</v>
      </c>
      <c r="BM109" s="97">
        <f ca="1">TblProd[[#This Row],[Ore]]</f>
        <v>0</v>
      </c>
    </row>
    <row r="110" spans="1:65" x14ac:dyDescent="0.2">
      <c r="A110" s="140">
        <v>35</v>
      </c>
      <c r="B110" s="155">
        <f ca="1">TblImps[[#This Row],[Time]]</f>
        <v>44875.41666666641</v>
      </c>
      <c r="C110" s="156"/>
      <c r="D110" s="157"/>
      <c r="E110" s="97">
        <f ca="1">TblConstr[[#This Row],[Land]]</f>
        <v>250</v>
      </c>
      <c r="F110" s="97">
        <f ca="1">TblPop[[#This Row],[Peasants]]</f>
        <v>2038</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696141</v>
      </c>
      <c r="I110" s="97">
        <f ca="1">OFFSET(TblProd[[#This Row],[Food]],-1,0)+OFFSET(TblProd[[#This Row],[Food/hr]],-1,0)+ROUNDUP((TblConstr[[#This Row],[Farms]]*80+TblConstr[[#This Row],[Docks]]*35)*(1+OFFSET(TblProd[[#This Row],[Bonus Food/hr]],-1,0)),0)</f>
        <v>136842</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5670</v>
      </c>
      <c r="T110" s="97">
        <f ca="1">ROUND(TblProd[[#This Row],[Raw Food/hr]]*(1+TblProd[[#This Row],[Bonus Food/hr]])-TblProd[[#This Row],[Food decay]]-TblProd[[#This Row],[Food eaten]],0)</f>
        <v>627</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5670</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1368.42</v>
      </c>
      <c r="AP110" s="97">
        <f ca="1">(1+race_food_consumption)*TblPop[[#This Row],[Total]]*food_per_person*(1+tech_1_10*TblTech[[#This Row],[1-10]]+tech_7_5*TblTech[[#This Row],[7-5]])</f>
        <v>584.5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f>
        <v>0</v>
      </c>
      <c r="BD110" s="161"/>
      <c r="BE110" s="161"/>
      <c r="BF110" s="161"/>
      <c r="BG110" s="162">
        <f ca="1">TblProd[[#This Row],[Time]]</f>
        <v>44875.41666666641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696141</v>
      </c>
      <c r="BJ110" s="97">
        <f ca="1">TblProd[[#This Row],[Food]]</f>
        <v>136842</v>
      </c>
      <c r="BK110" s="97">
        <f ca="1">TblProd[[#This Row],[Lumber]]</f>
        <v>70706</v>
      </c>
      <c r="BL110" s="97">
        <f ca="1">TblProd[[#This Row],[Mana]]</f>
        <v>0</v>
      </c>
      <c r="BM110" s="97">
        <f ca="1">TblProd[[#This Row],[Ore]]</f>
        <v>0</v>
      </c>
    </row>
    <row r="111" spans="1:65" x14ac:dyDescent="0.2">
      <c r="A111" s="140">
        <v>36</v>
      </c>
      <c r="B111" s="155">
        <f ca="1">TblImps[[#This Row],[Time]]</f>
        <v>44875.458333333074</v>
      </c>
      <c r="C111" s="156"/>
      <c r="D111" s="157"/>
      <c r="E111" s="97">
        <f ca="1">TblConstr[[#This Row],[Land]]</f>
        <v>250</v>
      </c>
      <c r="F111" s="97">
        <f ca="1">TblPop[[#This Row],[Peasants]]</f>
        <v>2038</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701811</v>
      </c>
      <c r="I111" s="97">
        <f ca="1">OFFSET(TblProd[[#This Row],[Food]],-1,0)+OFFSET(TblProd[[#This Row],[Food/hr]],-1,0)+ROUNDUP((TblConstr[[#This Row],[Farms]]*80+TblConstr[[#This Row],[Docks]]*35)*(1+OFFSET(TblProd[[#This Row],[Bonus Food/hr]],-1,0)),0)</f>
        <v>137469</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5670</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5670</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1374.69</v>
      </c>
      <c r="AP111" s="97">
        <f ca="1">(1+race_food_consumption)*TblPop[[#This Row],[Total]]*food_per_person*(1+tech_1_10*TblTech[[#This Row],[1-10]]+tech_7_5*TblTech[[#This Row],[7-5]])</f>
        <v>584.5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f>
        <v>0</v>
      </c>
      <c r="BD111" s="161"/>
      <c r="BE111" s="161"/>
      <c r="BF111" s="161"/>
      <c r="BG111" s="162">
        <f ca="1">TblProd[[#This Row],[Time]]</f>
        <v>44875.458333333074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701811</v>
      </c>
      <c r="BJ111" s="97">
        <f ca="1">TblProd[[#This Row],[Food]]</f>
        <v>137469</v>
      </c>
      <c r="BK111" s="97">
        <f ca="1">TblProd[[#This Row],[Lumber]]</f>
        <v>70999</v>
      </c>
      <c r="BL111" s="97">
        <f ca="1">TblProd[[#This Row],[Mana]]</f>
        <v>0</v>
      </c>
      <c r="BM111" s="97">
        <f ca="1">TblProd[[#This Row],[Ore]]</f>
        <v>0</v>
      </c>
    </row>
    <row r="112" spans="1:65" x14ac:dyDescent="0.2">
      <c r="A112" s="140">
        <v>37</v>
      </c>
      <c r="B112" s="155">
        <f ca="1">TblImps[[#This Row],[Time]]</f>
        <v>44875.499999999738</v>
      </c>
      <c r="C112" s="156"/>
      <c r="D112" s="157"/>
      <c r="E112" s="97">
        <f ca="1">TblConstr[[#This Row],[Land]]</f>
        <v>250</v>
      </c>
      <c r="F112" s="97">
        <f ca="1">TblPop[[#This Row],[Peasants]]</f>
        <v>2038</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707481</v>
      </c>
      <c r="I112" s="97">
        <f ca="1">OFFSET(TblProd[[#This Row],[Food]],-1,0)+OFFSET(TblProd[[#This Row],[Food/hr]],-1,0)+ROUNDUP((TblConstr[[#This Row],[Farms]]*80+TblConstr[[#This Row],[Docks]]*35)*(1+OFFSET(TblProd[[#This Row],[Bonus Food/hr]],-1,0)),0)</f>
        <v>138090</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5670</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5670</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1380.9</v>
      </c>
      <c r="AP112" s="97">
        <f ca="1">(1+race_food_consumption)*TblPop[[#This Row],[Total]]*food_per_person*(1+tech_1_10*TblTech[[#This Row],[1-10]]+tech_7_5*TblTech[[#This Row],[7-5]])</f>
        <v>584.5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f>
        <v>0</v>
      </c>
      <c r="BD112" s="161"/>
      <c r="BE112" s="161"/>
      <c r="BF112" s="161"/>
      <c r="BG112" s="162">
        <f ca="1">TblProd[[#This Row],[Time]]</f>
        <v>44875.499999999738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707481</v>
      </c>
      <c r="BJ112" s="97">
        <f ca="1">TblProd[[#This Row],[Food]]</f>
        <v>138090</v>
      </c>
      <c r="BK112" s="97">
        <f ca="1">TblProd[[#This Row],[Lumber]]</f>
        <v>71289</v>
      </c>
      <c r="BL112" s="97">
        <f ca="1">TblProd[[#This Row],[Mana]]</f>
        <v>0</v>
      </c>
      <c r="BM112" s="97">
        <f ca="1">TblProd[[#This Row],[Ore]]</f>
        <v>0</v>
      </c>
    </row>
    <row r="113" spans="1:65" x14ac:dyDescent="0.2">
      <c r="A113" s="140">
        <v>38</v>
      </c>
      <c r="B113" s="155">
        <f ca="1">TblImps[[#This Row],[Time]]</f>
        <v>44875.541666666402</v>
      </c>
      <c r="C113" s="156"/>
      <c r="D113" s="157"/>
      <c r="E113" s="97">
        <f ca="1">TblConstr[[#This Row],[Land]]</f>
        <v>250</v>
      </c>
      <c r="F113" s="97">
        <f ca="1">TblPop[[#This Row],[Peasants]]</f>
        <v>2038</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713151</v>
      </c>
      <c r="I113" s="97">
        <f ca="1">OFFSET(TblProd[[#This Row],[Food]],-1,0)+OFFSET(TblProd[[#This Row],[Food/hr]],-1,0)+ROUNDUP((TblConstr[[#This Row],[Farms]]*80+TblConstr[[#This Row],[Docks]]*35)*(1+OFFSET(TblProd[[#This Row],[Bonus Food/hr]],-1,0)),0)</f>
        <v>138705</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5670</v>
      </c>
      <c r="T113" s="97">
        <f ca="1">ROUND(TblProd[[#This Row],[Raw Food/hr]]*(1+TblProd[[#This Row],[Bonus Food/hr]])-TblProd[[#This Row],[Food decay]]-TblProd[[#This Row],[Food eaten]],0)</f>
        <v>608</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5670</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1387.05</v>
      </c>
      <c r="AP113" s="97">
        <f ca="1">(1+race_food_consumption)*TblPop[[#This Row],[Total]]*food_per_person*(1+tech_1_10*TblTech[[#This Row],[1-10]]+tech_7_5*TblTech[[#This Row],[7-5]])</f>
        <v>584.5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f>
        <v>0</v>
      </c>
      <c r="BD113" s="161"/>
      <c r="BE113" s="161"/>
      <c r="BF113" s="161"/>
      <c r="BG113" s="162">
        <f ca="1">TblProd[[#This Row],[Time]]</f>
        <v>44875.541666666402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713151</v>
      </c>
      <c r="BJ113" s="97">
        <f ca="1">TblProd[[#This Row],[Food]]</f>
        <v>138705</v>
      </c>
      <c r="BK113" s="97">
        <f ca="1">TblProd[[#This Row],[Lumber]]</f>
        <v>71576</v>
      </c>
      <c r="BL113" s="97">
        <f ca="1">TblProd[[#This Row],[Mana]]</f>
        <v>0</v>
      </c>
      <c r="BM113" s="97">
        <f ca="1">TblProd[[#This Row],[Ore]]</f>
        <v>0</v>
      </c>
    </row>
    <row r="114" spans="1:65" x14ac:dyDescent="0.2">
      <c r="A114" s="140">
        <v>39</v>
      </c>
      <c r="B114" s="155">
        <f ca="1">TblImps[[#This Row],[Time]]</f>
        <v>44875.583333333067</v>
      </c>
      <c r="C114" s="156"/>
      <c r="D114" s="157"/>
      <c r="E114" s="97">
        <f ca="1">TblConstr[[#This Row],[Land]]</f>
        <v>250</v>
      </c>
      <c r="F114" s="97">
        <f ca="1">TblPop[[#This Row],[Peasants]]</f>
        <v>2038</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718821</v>
      </c>
      <c r="I114" s="97">
        <f ca="1">OFFSET(TblProd[[#This Row],[Food]],-1,0)+OFFSET(TblProd[[#This Row],[Food/hr]],-1,0)+ROUNDUP((TblConstr[[#This Row],[Farms]]*80+TblConstr[[#This Row],[Docks]]*35)*(1+OFFSET(TblProd[[#This Row],[Bonus Food/hr]],-1,0)),0)</f>
        <v>139313</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5670</v>
      </c>
      <c r="T114" s="97">
        <f ca="1">ROUND(TblProd[[#This Row],[Raw Food/hr]]*(1+TblProd[[#This Row],[Bonus Food/hr]])-TblProd[[#This Row],[Food decay]]-TblProd[[#This Row],[Food eaten]],0)</f>
        <v>602</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5670</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1393.13</v>
      </c>
      <c r="AP114" s="97">
        <f ca="1">(1+race_food_consumption)*TblPop[[#This Row],[Total]]*food_per_person*(1+tech_1_10*TblTech[[#This Row],[1-10]]+tech_7_5*TblTech[[#This Row],[7-5]])</f>
        <v>584.5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f>
        <v>0</v>
      </c>
      <c r="BD114" s="161"/>
      <c r="BE114" s="161"/>
      <c r="BF114" s="161"/>
      <c r="BG114" s="162">
        <f ca="1">TblProd[[#This Row],[Time]]</f>
        <v>44875.583333333067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718821</v>
      </c>
      <c r="BJ114" s="97">
        <f ca="1">TblProd[[#This Row],[Food]]</f>
        <v>139313</v>
      </c>
      <c r="BK114" s="97">
        <f ca="1">TblProd[[#This Row],[Lumber]]</f>
        <v>71860</v>
      </c>
      <c r="BL114" s="97">
        <f ca="1">TblProd[[#This Row],[Mana]]</f>
        <v>0</v>
      </c>
      <c r="BM114" s="97">
        <f ca="1">TblProd[[#This Row],[Ore]]</f>
        <v>0</v>
      </c>
    </row>
    <row r="115" spans="1:65" x14ac:dyDescent="0.2">
      <c r="A115" s="140">
        <v>40</v>
      </c>
      <c r="B115" s="155">
        <f ca="1">TblImps[[#This Row],[Time]]</f>
        <v>44875.624999999731</v>
      </c>
      <c r="C115" s="156"/>
      <c r="D115" s="157"/>
      <c r="E115" s="97">
        <f ca="1">TblConstr[[#This Row],[Land]]</f>
        <v>250</v>
      </c>
      <c r="F115" s="97">
        <f ca="1">TblPop[[#This Row],[Peasants]]</f>
        <v>2038</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724491</v>
      </c>
      <c r="I115" s="97">
        <f ca="1">OFFSET(TblProd[[#This Row],[Food]],-1,0)+OFFSET(TblProd[[#This Row],[Food/hr]],-1,0)+ROUNDUP((TblConstr[[#This Row],[Farms]]*80+TblConstr[[#This Row],[Docks]]*35)*(1+OFFSET(TblProd[[#This Row],[Bonus Food/hr]],-1,0)),0)</f>
        <v>139915</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5670</v>
      </c>
      <c r="T115" s="97">
        <f ca="1">ROUND(TblProd[[#This Row],[Raw Food/hr]]*(1+TblProd[[#This Row],[Bonus Food/hr]])-TblProd[[#This Row],[Food decay]]-TblProd[[#This Row],[Food eaten]],0)</f>
        <v>596</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5670</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1399.15</v>
      </c>
      <c r="AP115" s="97">
        <f ca="1">(1+race_food_consumption)*TblPop[[#This Row],[Total]]*food_per_person*(1+tech_1_10*TblTech[[#This Row],[1-10]]+tech_7_5*TblTech[[#This Row],[7-5]])</f>
        <v>584.5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f>
        <v>0</v>
      </c>
      <c r="BD115" s="161"/>
      <c r="BE115" s="161"/>
      <c r="BF115" s="161"/>
      <c r="BG115" s="162">
        <f ca="1">TblProd[[#This Row],[Time]]</f>
        <v>44875.624999999731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724491</v>
      </c>
      <c r="BJ115" s="97">
        <f ca="1">TblProd[[#This Row],[Food]]</f>
        <v>139915</v>
      </c>
      <c r="BK115" s="97">
        <f ca="1">TblProd[[#This Row],[Lumber]]</f>
        <v>72141</v>
      </c>
      <c r="BL115" s="97">
        <f ca="1">TblProd[[#This Row],[Mana]]</f>
        <v>0</v>
      </c>
      <c r="BM115" s="97">
        <f ca="1">TblProd[[#This Row],[Ore]]</f>
        <v>0</v>
      </c>
    </row>
    <row r="116" spans="1:65" x14ac:dyDescent="0.2">
      <c r="A116" s="140">
        <v>41</v>
      </c>
      <c r="B116" s="155">
        <f ca="1">TblImps[[#This Row],[Time]]</f>
        <v>44875.666666666395</v>
      </c>
      <c r="C116" s="156"/>
      <c r="D116" s="157"/>
      <c r="E116" s="97">
        <f ca="1">TblConstr[[#This Row],[Land]]</f>
        <v>250</v>
      </c>
      <c r="F116" s="97">
        <f ca="1">TblPop[[#This Row],[Peasants]]</f>
        <v>2038</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730161</v>
      </c>
      <c r="I116" s="97">
        <f ca="1">OFFSET(TblProd[[#This Row],[Food]],-1,0)+OFFSET(TblProd[[#This Row],[Food/hr]],-1,0)+ROUNDUP((TblConstr[[#This Row],[Farms]]*80+TblConstr[[#This Row],[Docks]]*35)*(1+OFFSET(TblProd[[#This Row],[Bonus Food/hr]],-1,0)),0)</f>
        <v>140511</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5670</v>
      </c>
      <c r="T116" s="97">
        <f ca="1">ROUND(TblProd[[#This Row],[Raw Food/hr]]*(1+TblProd[[#This Row],[Bonus Food/hr]])-TblProd[[#This Row],[Food decay]]-TblProd[[#This Row],[Food eaten]],0)</f>
        <v>590</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5670</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1405.1100000000001</v>
      </c>
      <c r="AP116" s="97">
        <f ca="1">(1+race_food_consumption)*TblPop[[#This Row],[Total]]*food_per_person*(1+tech_1_10*TblTech[[#This Row],[1-10]]+tech_7_5*TblTech[[#This Row],[7-5]])</f>
        <v>584.5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f>
        <v>0</v>
      </c>
      <c r="BD116" s="161"/>
      <c r="BE116" s="161"/>
      <c r="BF116" s="161"/>
      <c r="BG116" s="162">
        <f ca="1">TblProd[[#This Row],[Time]]</f>
        <v>44875.666666666395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730161</v>
      </c>
      <c r="BJ116" s="97">
        <f ca="1">TblProd[[#This Row],[Food]]</f>
        <v>140511</v>
      </c>
      <c r="BK116" s="97">
        <f ca="1">TblProd[[#This Row],[Lumber]]</f>
        <v>72420</v>
      </c>
      <c r="BL116" s="97">
        <f ca="1">TblProd[[#This Row],[Mana]]</f>
        <v>0</v>
      </c>
      <c r="BM116" s="97">
        <f ca="1">TblProd[[#This Row],[Ore]]</f>
        <v>0</v>
      </c>
    </row>
    <row r="117" spans="1:65" x14ac:dyDescent="0.2">
      <c r="A117" s="140">
        <v>42</v>
      </c>
      <c r="B117" s="155">
        <f ca="1">TblImps[[#This Row],[Time]]</f>
        <v>44875.708333333059</v>
      </c>
      <c r="C117" s="156"/>
      <c r="D117" s="157"/>
      <c r="E117" s="97">
        <f ca="1">TblConstr[[#This Row],[Land]]</f>
        <v>250</v>
      </c>
      <c r="F117" s="97">
        <f ca="1">TblPop[[#This Row],[Peasants]]</f>
        <v>2038</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735831</v>
      </c>
      <c r="I117" s="97">
        <f ca="1">OFFSET(TblProd[[#This Row],[Food]],-1,0)+OFFSET(TblProd[[#This Row],[Food/hr]],-1,0)+ROUNDUP((TblConstr[[#This Row],[Farms]]*80+TblConstr[[#This Row],[Docks]]*35)*(1+OFFSET(TblProd[[#This Row],[Bonus Food/hr]],-1,0)),0)</f>
        <v>141101</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5670</v>
      </c>
      <c r="T117" s="97">
        <f ca="1">ROUND(TblProd[[#This Row],[Raw Food/hr]]*(1+TblProd[[#This Row],[Bonus Food/hr]])-TblProd[[#This Row],[Food decay]]-TblProd[[#This Row],[Food eaten]],0)</f>
        <v>584</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5670</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1411.01</v>
      </c>
      <c r="AP117" s="97">
        <f ca="1">(1+race_food_consumption)*TblPop[[#This Row],[Total]]*food_per_person*(1+tech_1_10*TblTech[[#This Row],[1-10]]+tech_7_5*TblTech[[#This Row],[7-5]])</f>
        <v>584.5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f>
        <v>0</v>
      </c>
      <c r="BD117" s="161"/>
      <c r="BE117" s="161"/>
      <c r="BF117" s="161"/>
      <c r="BG117" s="162">
        <f ca="1">TblProd[[#This Row],[Time]]</f>
        <v>44875.708333333059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735831</v>
      </c>
      <c r="BJ117" s="97">
        <f ca="1">TblProd[[#This Row],[Food]]</f>
        <v>141101</v>
      </c>
      <c r="BK117" s="97">
        <f ca="1">TblProd[[#This Row],[Lumber]]</f>
        <v>72696</v>
      </c>
      <c r="BL117" s="97">
        <f ca="1">TblProd[[#This Row],[Mana]]</f>
        <v>0</v>
      </c>
      <c r="BM117" s="97">
        <f ca="1">TblProd[[#This Row],[Ore]]</f>
        <v>0</v>
      </c>
    </row>
    <row r="118" spans="1:65" x14ac:dyDescent="0.2">
      <c r="A118" s="140">
        <v>43</v>
      </c>
      <c r="B118" s="155">
        <f ca="1">TblImps[[#This Row],[Time]]</f>
        <v>44875.749999999724</v>
      </c>
      <c r="C118" s="156"/>
      <c r="D118" s="157"/>
      <c r="E118" s="97">
        <f ca="1">TblConstr[[#This Row],[Land]]</f>
        <v>250</v>
      </c>
      <c r="F118" s="97">
        <f ca="1">TblPop[[#This Row],[Peasants]]</f>
        <v>2038</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741501</v>
      </c>
      <c r="I118" s="97">
        <f ca="1">OFFSET(TblProd[[#This Row],[Food]],-1,0)+OFFSET(TblProd[[#This Row],[Food/hr]],-1,0)+ROUNDUP((TblConstr[[#This Row],[Farms]]*80+TblConstr[[#This Row],[Docks]]*35)*(1+OFFSET(TblProd[[#This Row],[Bonus Food/hr]],-1,0)),0)</f>
        <v>141685</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5670</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5670</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1416.8500000000001</v>
      </c>
      <c r="AP118" s="97">
        <f ca="1">(1+race_food_consumption)*TblPop[[#This Row],[Total]]*food_per_person*(1+tech_1_10*TblTech[[#This Row],[1-10]]+tech_7_5*TblTech[[#This Row],[7-5]])</f>
        <v>584.5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f>
        <v>0</v>
      </c>
      <c r="BD118" s="161"/>
      <c r="BE118" s="161"/>
      <c r="BF118" s="161"/>
      <c r="BG118" s="162">
        <f ca="1">TblProd[[#This Row],[Time]]</f>
        <v>44875.749999999724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741501</v>
      </c>
      <c r="BJ118" s="97">
        <f ca="1">TblProd[[#This Row],[Food]]</f>
        <v>141685</v>
      </c>
      <c r="BK118" s="97">
        <f ca="1">TblProd[[#This Row],[Lumber]]</f>
        <v>72969</v>
      </c>
      <c r="BL118" s="97">
        <f ca="1">TblProd[[#This Row],[Mana]]</f>
        <v>0</v>
      </c>
      <c r="BM118" s="97">
        <f ca="1">TblProd[[#This Row],[Ore]]</f>
        <v>0</v>
      </c>
    </row>
    <row r="119" spans="1:65" x14ac:dyDescent="0.2">
      <c r="A119" s="140">
        <v>44</v>
      </c>
      <c r="B119" s="155">
        <f ca="1">TblImps[[#This Row],[Time]]</f>
        <v>44875.791666666388</v>
      </c>
      <c r="C119" s="156"/>
      <c r="D119" s="157"/>
      <c r="E119" s="97">
        <f ca="1">TblConstr[[#This Row],[Land]]</f>
        <v>250</v>
      </c>
      <c r="F119" s="97">
        <f ca="1">TblPop[[#This Row],[Peasants]]</f>
        <v>2038</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747171</v>
      </c>
      <c r="I119" s="97">
        <f ca="1">OFFSET(TblProd[[#This Row],[Food]],-1,0)+OFFSET(TblProd[[#This Row],[Food/hr]],-1,0)+ROUNDUP((TblConstr[[#This Row],[Farms]]*80+TblConstr[[#This Row],[Docks]]*35)*(1+OFFSET(TblProd[[#This Row],[Bonus Food/hr]],-1,0)),0)</f>
        <v>142264</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5670</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5670</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1422.64</v>
      </c>
      <c r="AP119" s="97">
        <f ca="1">(1+race_food_consumption)*TblPop[[#This Row],[Total]]*food_per_person*(1+tech_1_10*TblTech[[#This Row],[1-10]]+tech_7_5*TblTech[[#This Row],[7-5]])</f>
        <v>584.5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f>
        <v>0</v>
      </c>
      <c r="BD119" s="161"/>
      <c r="BE119" s="161"/>
      <c r="BF119" s="161"/>
      <c r="BG119" s="162">
        <f ca="1">TblProd[[#This Row],[Time]]</f>
        <v>44875.791666666388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747171</v>
      </c>
      <c r="BJ119" s="97">
        <f ca="1">TblProd[[#This Row],[Food]]</f>
        <v>142264</v>
      </c>
      <c r="BK119" s="97">
        <f ca="1">TblProd[[#This Row],[Lumber]]</f>
        <v>73239</v>
      </c>
      <c r="BL119" s="97">
        <f ca="1">TblProd[[#This Row],[Mana]]</f>
        <v>0</v>
      </c>
      <c r="BM119" s="97">
        <f ca="1">TblProd[[#This Row],[Ore]]</f>
        <v>0</v>
      </c>
    </row>
    <row r="120" spans="1:65" x14ac:dyDescent="0.2">
      <c r="A120" s="140">
        <v>45</v>
      </c>
      <c r="B120" s="155">
        <f ca="1">TblImps[[#This Row],[Time]]</f>
        <v>44875.833333333052</v>
      </c>
      <c r="C120" s="156"/>
      <c r="D120" s="157"/>
      <c r="E120" s="97">
        <f ca="1">TblConstr[[#This Row],[Land]]</f>
        <v>250</v>
      </c>
      <c r="F120" s="97">
        <f ca="1">TblPop[[#This Row],[Peasants]]</f>
        <v>2038</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752841</v>
      </c>
      <c r="I120" s="97">
        <f ca="1">OFFSET(TblProd[[#This Row],[Food]],-1,0)+OFFSET(TblProd[[#This Row],[Food/hr]],-1,0)+ROUNDUP((TblConstr[[#This Row],[Farms]]*80+TblConstr[[#This Row],[Docks]]*35)*(1+OFFSET(TblProd[[#This Row],[Bonus Food/hr]],-1,0)),0)</f>
        <v>142837</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5670</v>
      </c>
      <c r="T120" s="97">
        <f ca="1">ROUND(TblProd[[#This Row],[Raw Food/hr]]*(1+TblProd[[#This Row],[Bonus Food/hr]])-TblProd[[#This Row],[Food decay]]-TblProd[[#This Row],[Food eaten]],0)</f>
        <v>567</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5670</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1428.3700000000001</v>
      </c>
      <c r="AP120" s="97">
        <f ca="1">(1+race_food_consumption)*TblPop[[#This Row],[Total]]*food_per_person*(1+tech_1_10*TblTech[[#This Row],[1-10]]+tech_7_5*TblTech[[#This Row],[7-5]])</f>
        <v>584.5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f>
        <v>0</v>
      </c>
      <c r="BD120" s="161"/>
      <c r="BE120" s="161"/>
      <c r="BF120" s="161"/>
      <c r="BG120" s="162">
        <f ca="1">TblProd[[#This Row],[Time]]</f>
        <v>44875.833333333052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752841</v>
      </c>
      <c r="BJ120" s="97">
        <f ca="1">TblProd[[#This Row],[Food]]</f>
        <v>142837</v>
      </c>
      <c r="BK120" s="97">
        <f ca="1">TblProd[[#This Row],[Lumber]]</f>
        <v>73507</v>
      </c>
      <c r="BL120" s="97">
        <f ca="1">TblProd[[#This Row],[Mana]]</f>
        <v>0</v>
      </c>
      <c r="BM120" s="97">
        <f ca="1">TblProd[[#This Row],[Ore]]</f>
        <v>0</v>
      </c>
    </row>
    <row r="121" spans="1:65" x14ac:dyDescent="0.2">
      <c r="A121" s="140">
        <v>46</v>
      </c>
      <c r="B121" s="155">
        <f ca="1">TblImps[[#This Row],[Time]]</f>
        <v>44875.874999999716</v>
      </c>
      <c r="C121" s="156"/>
      <c r="D121" s="157"/>
      <c r="E121" s="97">
        <f ca="1">TblConstr[[#This Row],[Land]]</f>
        <v>250</v>
      </c>
      <c r="F121" s="97">
        <f ca="1">TblPop[[#This Row],[Peasants]]</f>
        <v>2038</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758511</v>
      </c>
      <c r="I121" s="97">
        <f ca="1">OFFSET(TblProd[[#This Row],[Food]],-1,0)+OFFSET(TblProd[[#This Row],[Food/hr]],-1,0)+ROUNDUP((TblConstr[[#This Row],[Farms]]*80+TblConstr[[#This Row],[Docks]]*35)*(1+OFFSET(TblProd[[#This Row],[Bonus Food/hr]],-1,0)),0)</f>
        <v>143404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5670</v>
      </c>
      <c r="T121" s="97">
        <f ca="1">ROUND(TblProd[[#This Row],[Raw Food/hr]]*(1+TblProd[[#This Row],[Bonus Food/hr]])-TblProd[[#This Row],[Food decay]]-TblProd[[#This Row],[Food eaten]],0)</f>
        <v>561</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5670</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1434.04</v>
      </c>
      <c r="AP121" s="97">
        <f ca="1">(1+race_food_consumption)*TblPop[[#This Row],[Total]]*food_per_person*(1+tech_1_10*TblTech[[#This Row],[1-10]]+tech_7_5*TblTech[[#This Row],[7-5]])</f>
        <v>584.5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f>
        <v>0</v>
      </c>
      <c r="BD121" s="161"/>
      <c r="BE121" s="161"/>
      <c r="BF121" s="161"/>
      <c r="BG121" s="162">
        <f ca="1">TblProd[[#This Row],[Time]]</f>
        <v>44875.874999999716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758511</v>
      </c>
      <c r="BJ121" s="97">
        <f ca="1">TblProd[[#This Row],[Food]]</f>
        <v>143404</v>
      </c>
      <c r="BK121" s="97">
        <f ca="1">TblProd[[#This Row],[Lumber]]</f>
        <v>73772</v>
      </c>
      <c r="BL121" s="97">
        <f ca="1">TblProd[[#This Row],[Mana]]</f>
        <v>0</v>
      </c>
      <c r="BM121" s="97">
        <f ca="1">TblProd[[#This Row],[Ore]]</f>
        <v>0</v>
      </c>
    </row>
    <row r="122" spans="1:65" x14ac:dyDescent="0.2">
      <c r="A122" s="140">
        <v>47</v>
      </c>
      <c r="B122" s="155">
        <f ca="1">TblImps[[#This Row],[Time]]</f>
        <v>44875.91666666638</v>
      </c>
      <c r="C122" s="156"/>
      <c r="D122" s="157"/>
      <c r="E122" s="97">
        <f ca="1">TblConstr[[#This Row],[Land]]</f>
        <v>250</v>
      </c>
      <c r="F122" s="97">
        <f ca="1">TblPop[[#This Row],[Peasants]]</f>
        <v>2038</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764181</v>
      </c>
      <c r="I122" s="97">
        <f ca="1">OFFSET(TblProd[[#This Row],[Food]],-1,0)+OFFSET(TblProd[[#This Row],[Food/hr]],-1,0)+ROUNDUP((TblConstr[[#This Row],[Farms]]*80+TblConstr[[#This Row],[Docks]]*35)*(1+OFFSET(TblProd[[#This Row],[Bonus Food/hr]],-1,0)),0)</f>
        <v>143965</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5670</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5670</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1439.65</v>
      </c>
      <c r="AP122" s="97">
        <f ca="1">(1+race_food_consumption)*TblPop[[#This Row],[Total]]*food_per_person*(1+tech_1_10*TblTech[[#This Row],[1-10]]+tech_7_5*TblTech[[#This Row],[7-5]])</f>
        <v>584.5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f>
        <v>0</v>
      </c>
      <c r="BD122" s="161"/>
      <c r="BE122" s="161"/>
      <c r="BF122" s="161"/>
      <c r="BG122" s="162">
        <f ca="1">TblProd[[#This Row],[Time]]</f>
        <v>44875.91666666638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764181</v>
      </c>
      <c r="BJ122" s="97">
        <f ca="1">TblProd[[#This Row],[Food]]</f>
        <v>143965</v>
      </c>
      <c r="BK122" s="97">
        <f ca="1">TblProd[[#This Row],[Lumber]]</f>
        <v>74034</v>
      </c>
      <c r="BL122" s="97">
        <f ca="1">TblProd[[#This Row],[Mana]]</f>
        <v>0</v>
      </c>
      <c r="BM122" s="97">
        <f ca="1">TblProd[[#This Row],[Ore]]</f>
        <v>0</v>
      </c>
    </row>
    <row r="123" spans="1:65" x14ac:dyDescent="0.2">
      <c r="A123" s="140">
        <v>48</v>
      </c>
      <c r="B123" s="155">
        <f ca="1">TblImps[[#This Row],[Time]]</f>
        <v>44875.958333333045</v>
      </c>
      <c r="C123" s="156"/>
      <c r="D123" s="157"/>
      <c r="E123" s="97">
        <f ca="1">TblConstr[[#This Row],[Land]]</f>
        <v>250</v>
      </c>
      <c r="F123" s="97">
        <f ca="1">TblPop[[#This Row],[Peasants]]</f>
        <v>2038</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769851</v>
      </c>
      <c r="I123" s="97">
        <f ca="1">OFFSET(TblProd[[#This Row],[Food]],-1,0)+OFFSET(TblProd[[#This Row],[Food/hr]],-1,0)+ROUNDUP((TblConstr[[#This Row],[Farms]]*80+TblConstr[[#This Row],[Docks]]*35)*(1+OFFSET(TblProd[[#This Row],[Bonus Food/hr]],-1,0)),0)</f>
        <v>144521</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5670</v>
      </c>
      <c r="T123" s="97">
        <f ca="1">ROUND(TblProd[[#This Row],[Raw Food/hr]]*(1+TblProd[[#This Row],[Bonus Food/hr]])-TblProd[[#This Row],[Food decay]]-TblProd[[#This Row],[Food eaten]],0)</f>
        <v>550</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5670</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1445.21</v>
      </c>
      <c r="AP123" s="97">
        <f ca="1">(1+race_food_consumption)*TblPop[[#This Row],[Total]]*food_per_person*(1+tech_1_10*TblTech[[#This Row],[1-10]]+tech_7_5*TblTech[[#This Row],[7-5]])</f>
        <v>584.5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f>
        <v>0</v>
      </c>
      <c r="BD123" s="161"/>
      <c r="BE123" s="161"/>
      <c r="BF123" s="161"/>
      <c r="BG123" s="162">
        <f ca="1">TblProd[[#This Row],[Time]]</f>
        <v>44875.958333333045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769851</v>
      </c>
      <c r="BJ123" s="97">
        <f ca="1">TblProd[[#This Row],[Food]]</f>
        <v>144521</v>
      </c>
      <c r="BK123" s="97">
        <f ca="1">TblProd[[#This Row],[Lumber]]</f>
        <v>74294</v>
      </c>
      <c r="BL123" s="97">
        <f ca="1">TblProd[[#This Row],[Mana]]</f>
        <v>0</v>
      </c>
      <c r="BM123" s="97">
        <f ca="1">TblProd[[#This Row],[Ore]]</f>
        <v>0</v>
      </c>
    </row>
    <row r="124" spans="1:65" x14ac:dyDescent="0.2">
      <c r="A124" s="140">
        <v>49</v>
      </c>
      <c r="B124" s="155">
        <f ca="1">TblImps[[#This Row],[Time]]</f>
        <v>44875.999999999709</v>
      </c>
      <c r="C124" s="156"/>
      <c r="D124" s="157"/>
      <c r="E124" s="97">
        <f ca="1">TblConstr[[#This Row],[Land]]</f>
        <v>250</v>
      </c>
      <c r="F124" s="97">
        <f ca="1">TblPop[[#This Row],[Peasants]]</f>
        <v>2038</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775521</v>
      </c>
      <c r="I124" s="97">
        <f ca="1">OFFSET(TblProd[[#This Row],[Food]],-1,0)+OFFSET(TblProd[[#This Row],[Food/hr]],-1,0)+ROUNDUP((TblConstr[[#This Row],[Farms]]*80+TblConstr[[#This Row],[Docks]]*35)*(1+OFFSET(TblProd[[#This Row],[Bonus Food/hr]],-1,0)),0)</f>
        <v>145071</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5670</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5670</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1450.71</v>
      </c>
      <c r="AP124" s="97">
        <f ca="1">(1+race_food_consumption)*TblPop[[#This Row],[Total]]*food_per_person*(1+tech_1_10*TblTech[[#This Row],[1-10]]+tech_7_5*TblTech[[#This Row],[7-5]])</f>
        <v>584.5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f>
        <v>0</v>
      </c>
      <c r="BD124" s="161"/>
      <c r="BE124" s="161"/>
      <c r="BF124" s="161"/>
      <c r="BG124" s="162">
        <f ca="1">TblProd[[#This Row],[Time]]</f>
        <v>44875.999999999709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775521</v>
      </c>
      <c r="BJ124" s="97">
        <f ca="1">TblProd[[#This Row],[Food]]</f>
        <v>145071</v>
      </c>
      <c r="BK124" s="97">
        <f ca="1">TblProd[[#This Row],[Lumber]]</f>
        <v>74551</v>
      </c>
      <c r="BL124" s="97">
        <f ca="1">TblProd[[#This Row],[Mana]]</f>
        <v>0</v>
      </c>
      <c r="BM124" s="97">
        <f ca="1">TblProd[[#This Row],[Ore]]</f>
        <v>0</v>
      </c>
    </row>
    <row r="125" spans="1:65" x14ac:dyDescent="0.2">
      <c r="A125" s="140">
        <v>50</v>
      </c>
      <c r="B125" s="155">
        <f ca="1">TblImps[[#This Row],[Time]]</f>
        <v>44876.041666666373</v>
      </c>
      <c r="C125" s="156"/>
      <c r="D125" s="157"/>
      <c r="E125" s="97">
        <f ca="1">TblConstr[[#This Row],[Land]]</f>
        <v>250</v>
      </c>
      <c r="F125" s="97">
        <f ca="1">TblPop[[#This Row],[Peasants]]</f>
        <v>2038</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781191</v>
      </c>
      <c r="I125" s="97">
        <f ca="1">OFFSET(TblProd[[#This Row],[Food]],-1,0)+OFFSET(TblProd[[#This Row],[Food/hr]],-1,0)+ROUNDUP((TblConstr[[#This Row],[Farms]]*80+TblConstr[[#This Row],[Docks]]*35)*(1+OFFSET(TblProd[[#This Row],[Bonus Food/hr]],-1,0)),0)</f>
        <v>145616</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5670</v>
      </c>
      <c r="T125" s="97">
        <f ca="1">ROUND(TblProd[[#This Row],[Raw Food/hr]]*(1+TblProd[[#This Row],[Bonus Food/hr]])-TblProd[[#This Row],[Food decay]]-TblProd[[#This Row],[Food eaten]],0)</f>
        <v>539</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5670</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1456.16</v>
      </c>
      <c r="AP125" s="97">
        <f ca="1">(1+race_food_consumption)*TblPop[[#This Row],[Total]]*food_per_person*(1+tech_1_10*TblTech[[#This Row],[1-10]]+tech_7_5*TblTech[[#This Row],[7-5]])</f>
        <v>584.5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f>
        <v>0</v>
      </c>
      <c r="BD125" s="161"/>
      <c r="BE125" s="161"/>
      <c r="BF125" s="161"/>
      <c r="BG125" s="162">
        <f ca="1">TblProd[[#This Row],[Time]]</f>
        <v>44876.041666666373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781191</v>
      </c>
      <c r="BJ125" s="97">
        <f ca="1">TblProd[[#This Row],[Food]]</f>
        <v>145616</v>
      </c>
      <c r="BK125" s="97">
        <f ca="1">TblProd[[#This Row],[Lumber]]</f>
        <v>74805</v>
      </c>
      <c r="BL125" s="97">
        <f ca="1">TblProd[[#This Row],[Mana]]</f>
        <v>0</v>
      </c>
      <c r="BM125" s="97">
        <f ca="1">TblProd[[#This Row],[Ore]]</f>
        <v>0</v>
      </c>
    </row>
    <row r="126" spans="1:65" x14ac:dyDescent="0.2">
      <c r="A126" s="140">
        <v>51</v>
      </c>
      <c r="B126" s="155">
        <f ca="1">TblImps[[#This Row],[Time]]</f>
        <v>44876.083333333037</v>
      </c>
      <c r="C126" s="156"/>
      <c r="D126" s="157"/>
      <c r="E126" s="97">
        <f ca="1">TblConstr[[#This Row],[Land]]</f>
        <v>250</v>
      </c>
      <c r="F126" s="97">
        <f ca="1">TblPop[[#This Row],[Peasants]]</f>
        <v>2038</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786861</v>
      </c>
      <c r="I126" s="97">
        <f ca="1">OFFSET(TblProd[[#This Row],[Food]],-1,0)+OFFSET(TblProd[[#This Row],[Food/hr]],-1,0)+ROUNDUP((TblConstr[[#This Row],[Farms]]*80+TblConstr[[#This Row],[Docks]]*35)*(1+OFFSET(TblProd[[#This Row],[Bonus Food/hr]],-1,0)),0)</f>
        <v>146155</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5670</v>
      </c>
      <c r="T126" s="97">
        <f ca="1">ROUND(TblProd[[#This Row],[Raw Food/hr]]*(1+TblProd[[#This Row],[Bonus Food/hr]])-TblProd[[#This Row],[Food decay]]-TblProd[[#This Row],[Food eaten]],0)</f>
        <v>534</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5670</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1461.55</v>
      </c>
      <c r="AP126" s="97">
        <f ca="1">(1+race_food_consumption)*TblPop[[#This Row],[Total]]*food_per_person*(1+tech_1_10*TblTech[[#This Row],[1-10]]+tech_7_5*TblTech[[#This Row],[7-5]])</f>
        <v>584.5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f>
        <v>0</v>
      </c>
      <c r="BD126" s="161"/>
      <c r="BE126" s="161"/>
      <c r="BF126" s="161"/>
      <c r="BG126" s="162">
        <f ca="1">TblProd[[#This Row],[Time]]</f>
        <v>44876.083333333037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786861</v>
      </c>
      <c r="BJ126" s="97">
        <f ca="1">TblProd[[#This Row],[Food]]</f>
        <v>146155</v>
      </c>
      <c r="BK126" s="97">
        <f ca="1">TblProd[[#This Row],[Lumber]]</f>
        <v>75057</v>
      </c>
      <c r="BL126" s="97">
        <f ca="1">TblProd[[#This Row],[Mana]]</f>
        <v>0</v>
      </c>
      <c r="BM126" s="97">
        <f ca="1">TblProd[[#This Row],[Ore]]</f>
        <v>0</v>
      </c>
    </row>
    <row r="127" spans="1:65" x14ac:dyDescent="0.2">
      <c r="A127" s="140">
        <v>52</v>
      </c>
      <c r="B127" s="155">
        <f ca="1">TblImps[[#This Row],[Time]]</f>
        <v>44876.124999999702</v>
      </c>
      <c r="C127" s="156"/>
      <c r="D127" s="157"/>
      <c r="E127" s="97">
        <f ca="1">TblConstr[[#This Row],[Land]]</f>
        <v>250</v>
      </c>
      <c r="F127" s="97">
        <f ca="1">TblPop[[#This Row],[Peasants]]</f>
        <v>2038</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792531</v>
      </c>
      <c r="I127" s="97">
        <f ca="1">OFFSET(TblProd[[#This Row],[Food]],-1,0)+OFFSET(TblProd[[#This Row],[Food/hr]],-1,0)+ROUNDUP((TblConstr[[#This Row],[Farms]]*80+TblConstr[[#This Row],[Docks]]*35)*(1+OFFSET(TblProd[[#This Row],[Bonus Food/hr]],-1,0)),0)</f>
        <v>146689</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5670</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5670</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1466.89</v>
      </c>
      <c r="AP127" s="97">
        <f ca="1">(1+race_food_consumption)*TblPop[[#This Row],[Total]]*food_per_person*(1+tech_1_10*TblTech[[#This Row],[1-10]]+tech_7_5*TblTech[[#This Row],[7-5]])</f>
        <v>584.5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f>
        <v>0</v>
      </c>
      <c r="BD127" s="161"/>
      <c r="BE127" s="161"/>
      <c r="BF127" s="161"/>
      <c r="BG127" s="162">
        <f ca="1">TblProd[[#This Row],[Time]]</f>
        <v>44876.124999999702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792531</v>
      </c>
      <c r="BJ127" s="97">
        <f ca="1">TblProd[[#This Row],[Food]]</f>
        <v>146689</v>
      </c>
      <c r="BK127" s="97">
        <f ca="1">TblProd[[#This Row],[Lumber]]</f>
        <v>75306</v>
      </c>
      <c r="BL127" s="97">
        <f ca="1">TblProd[[#This Row],[Mana]]</f>
        <v>0</v>
      </c>
      <c r="BM127" s="97">
        <f ca="1">TblProd[[#This Row],[Ore]]</f>
        <v>0</v>
      </c>
    </row>
    <row r="128" spans="1:65" x14ac:dyDescent="0.2">
      <c r="A128" s="140">
        <v>53</v>
      </c>
      <c r="B128" s="155">
        <f ca="1">TblImps[[#This Row],[Time]]</f>
        <v>44876.166666666366</v>
      </c>
      <c r="C128" s="156"/>
      <c r="D128" s="157"/>
      <c r="E128" s="97">
        <f ca="1">TblConstr[[#This Row],[Land]]</f>
        <v>250</v>
      </c>
      <c r="F128" s="97">
        <f ca="1">TblPop[[#This Row],[Peasants]]</f>
        <v>2038</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798201</v>
      </c>
      <c r="I128" s="97">
        <f ca="1">OFFSET(TblProd[[#This Row],[Food]],-1,0)+OFFSET(TblProd[[#This Row],[Food/hr]],-1,0)+ROUNDUP((TblConstr[[#This Row],[Farms]]*80+TblConstr[[#This Row],[Docks]]*35)*(1+OFFSET(TblProd[[#This Row],[Bonus Food/hr]],-1,0)),0)</f>
        <v>147218</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5670</v>
      </c>
      <c r="T128" s="97">
        <f ca="1">ROUND(TblProd[[#This Row],[Raw Food/hr]]*(1+TblProd[[#This Row],[Bonus Food/hr]])-TblProd[[#This Row],[Food decay]]-TblProd[[#This Row],[Food eaten]],0)</f>
        <v>523</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5670</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1472.18</v>
      </c>
      <c r="AP128" s="97">
        <f ca="1">(1+race_food_consumption)*TblPop[[#This Row],[Total]]*food_per_person*(1+tech_1_10*TblTech[[#This Row],[1-10]]+tech_7_5*TblTech[[#This Row],[7-5]])</f>
        <v>584.5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f>
        <v>0</v>
      </c>
      <c r="BD128" s="161"/>
      <c r="BE128" s="161"/>
      <c r="BF128" s="161"/>
      <c r="BG128" s="162">
        <f ca="1">TblProd[[#This Row],[Time]]</f>
        <v>44876.166666666366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798201</v>
      </c>
      <c r="BJ128" s="97">
        <f ca="1">TblProd[[#This Row],[Food]]</f>
        <v>147218</v>
      </c>
      <c r="BK128" s="97">
        <f ca="1">TblProd[[#This Row],[Lumber]]</f>
        <v>75553</v>
      </c>
      <c r="BL128" s="97">
        <f ca="1">TblProd[[#This Row],[Mana]]</f>
        <v>0</v>
      </c>
      <c r="BM128" s="97">
        <f ca="1">TblProd[[#This Row],[Ore]]</f>
        <v>0</v>
      </c>
    </row>
    <row r="129" spans="1:65" x14ac:dyDescent="0.2">
      <c r="A129" s="140">
        <v>54</v>
      </c>
      <c r="B129" s="155">
        <f ca="1">TblImps[[#This Row],[Time]]</f>
        <v>44876.20833333303</v>
      </c>
      <c r="C129" s="156"/>
      <c r="D129" s="157"/>
      <c r="E129" s="97">
        <f ca="1">TblConstr[[#This Row],[Land]]</f>
        <v>250</v>
      </c>
      <c r="F129" s="97">
        <f ca="1">TblPop[[#This Row],[Peasants]]</f>
        <v>2038</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803871</v>
      </c>
      <c r="I129" s="97">
        <f ca="1">OFFSET(TblProd[[#This Row],[Food]],-1,0)+OFFSET(TblProd[[#This Row],[Food/hr]],-1,0)+ROUNDUP((TblConstr[[#This Row],[Farms]]*80+TblConstr[[#This Row],[Docks]]*35)*(1+OFFSET(TblProd[[#This Row],[Bonus Food/hr]],-1,0)),0)</f>
        <v>147741</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5670</v>
      </c>
      <c r="T129" s="97">
        <f ca="1">ROUND(TblProd[[#This Row],[Raw Food/hr]]*(1+TblProd[[#This Row],[Bonus Food/hr]])-TblProd[[#This Row],[Food decay]]-TblProd[[#This Row],[Food eaten]],0)</f>
        <v>518</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5670</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1477.41</v>
      </c>
      <c r="AP129" s="97">
        <f ca="1">(1+race_food_consumption)*TblPop[[#This Row],[Total]]*food_per_person*(1+tech_1_10*TblTech[[#This Row],[1-10]]+tech_7_5*TblTech[[#This Row],[7-5]])</f>
        <v>584.5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f>
        <v>0</v>
      </c>
      <c r="BD129" s="161"/>
      <c r="BE129" s="161"/>
      <c r="BF129" s="161"/>
      <c r="BG129" s="162">
        <f ca="1">TblProd[[#This Row],[Time]]</f>
        <v>44876.20833333303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803871</v>
      </c>
      <c r="BJ129" s="97">
        <f ca="1">TblProd[[#This Row],[Food]]</f>
        <v>147741</v>
      </c>
      <c r="BK129" s="97">
        <f ca="1">TblProd[[#This Row],[Lumber]]</f>
        <v>75797</v>
      </c>
      <c r="BL129" s="97">
        <f ca="1">TblProd[[#This Row],[Mana]]</f>
        <v>0</v>
      </c>
      <c r="BM129" s="97">
        <f ca="1">TblProd[[#This Row],[Ore]]</f>
        <v>0</v>
      </c>
    </row>
    <row r="130" spans="1:65" x14ac:dyDescent="0.2">
      <c r="A130" s="140">
        <v>55</v>
      </c>
      <c r="B130" s="155">
        <f ca="1">TblImps[[#This Row],[Time]]</f>
        <v>44876.249999999694</v>
      </c>
      <c r="C130" s="156"/>
      <c r="D130" s="157"/>
      <c r="E130" s="97">
        <f ca="1">TblConstr[[#This Row],[Land]]</f>
        <v>250</v>
      </c>
      <c r="F130" s="97">
        <f ca="1">TblPop[[#This Row],[Peasants]]</f>
        <v>2038</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809541</v>
      </c>
      <c r="I130" s="97">
        <f ca="1">OFFSET(TblProd[[#This Row],[Food]],-1,0)+OFFSET(TblProd[[#This Row],[Food/hr]],-1,0)+ROUNDUP((TblConstr[[#This Row],[Farms]]*80+TblConstr[[#This Row],[Docks]]*35)*(1+OFFSET(TblProd[[#This Row],[Bonus Food/hr]],-1,0)),0)</f>
        <v>148259</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5670</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5670</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1482.59</v>
      </c>
      <c r="AP130" s="97">
        <f ca="1">(1+race_food_consumption)*TblPop[[#This Row],[Total]]*food_per_person*(1+tech_1_10*TblTech[[#This Row],[1-10]]+tech_7_5*TblTech[[#This Row],[7-5]])</f>
        <v>584.5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f>
        <v>0</v>
      </c>
      <c r="BD130" s="161"/>
      <c r="BE130" s="161"/>
      <c r="BF130" s="161"/>
      <c r="BG130" s="162">
        <f ca="1">TblProd[[#This Row],[Time]]</f>
        <v>44876.249999999694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809541</v>
      </c>
      <c r="BJ130" s="97">
        <f ca="1">TblProd[[#This Row],[Food]]</f>
        <v>148259</v>
      </c>
      <c r="BK130" s="97">
        <f ca="1">TblProd[[#This Row],[Lumber]]</f>
        <v>76039</v>
      </c>
      <c r="BL130" s="97">
        <f ca="1">TblProd[[#This Row],[Mana]]</f>
        <v>0</v>
      </c>
      <c r="BM130" s="97">
        <f ca="1">TblProd[[#This Row],[Ore]]</f>
        <v>0</v>
      </c>
    </row>
    <row r="131" spans="1:65" x14ac:dyDescent="0.2">
      <c r="A131" s="140">
        <v>56</v>
      </c>
      <c r="B131" s="155">
        <f ca="1">TblImps[[#This Row],[Time]]</f>
        <v>44876.291666666359</v>
      </c>
      <c r="C131" s="156"/>
      <c r="D131" s="157"/>
      <c r="E131" s="97">
        <f ca="1">TblConstr[[#This Row],[Land]]</f>
        <v>250</v>
      </c>
      <c r="F131" s="97">
        <f ca="1">TblPop[[#This Row],[Peasants]]</f>
        <v>2038</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815211</v>
      </c>
      <c r="I131" s="97">
        <f ca="1">OFFSET(TblProd[[#This Row],[Food]],-1,0)+OFFSET(TblProd[[#This Row],[Food/hr]],-1,0)+ROUNDUP((TblConstr[[#This Row],[Farms]]*80+TblConstr[[#This Row],[Docks]]*35)*(1+OFFSET(TblProd[[#This Row],[Bonus Food/hr]],-1,0)),0)</f>
        <v>148772</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5670</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5670</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1487.72</v>
      </c>
      <c r="AP131" s="97">
        <f ca="1">(1+race_food_consumption)*TblPop[[#This Row],[Total]]*food_per_person*(1+tech_1_10*TblTech[[#This Row],[1-10]]+tech_7_5*TblTech[[#This Row],[7-5]])</f>
        <v>584.5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f>
        <v>0</v>
      </c>
      <c r="BD131" s="161"/>
      <c r="BE131" s="161"/>
      <c r="BF131" s="161"/>
      <c r="BG131" s="162">
        <f ca="1">TblProd[[#This Row],[Time]]</f>
        <v>44876.291666666359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815211</v>
      </c>
      <c r="BJ131" s="97">
        <f ca="1">TblProd[[#This Row],[Food]]</f>
        <v>148772</v>
      </c>
      <c r="BK131" s="97">
        <f ca="1">TblProd[[#This Row],[Lumber]]</f>
        <v>76279</v>
      </c>
      <c r="BL131" s="97">
        <f ca="1">TblProd[[#This Row],[Mana]]</f>
        <v>0</v>
      </c>
      <c r="BM131" s="97">
        <f ca="1">TblProd[[#This Row],[Ore]]</f>
        <v>0</v>
      </c>
    </row>
    <row r="132" spans="1:65" x14ac:dyDescent="0.2">
      <c r="A132" s="140">
        <v>57</v>
      </c>
      <c r="B132" s="155">
        <f ca="1">TblImps[[#This Row],[Time]]</f>
        <v>44876.333333333023</v>
      </c>
      <c r="C132" s="156"/>
      <c r="D132" s="157"/>
      <c r="E132" s="97">
        <f ca="1">TblConstr[[#This Row],[Land]]</f>
        <v>250</v>
      </c>
      <c r="F132" s="97">
        <f ca="1">TblPop[[#This Row],[Peasants]]</f>
        <v>2038</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820881</v>
      </c>
      <c r="I132" s="97">
        <f ca="1">OFFSET(TblProd[[#This Row],[Food]],-1,0)+OFFSET(TblProd[[#This Row],[Food/hr]],-1,0)+ROUNDUP((TblConstr[[#This Row],[Farms]]*80+TblConstr[[#This Row],[Docks]]*35)*(1+OFFSET(TblProd[[#This Row],[Bonus Food/hr]],-1,0)),0)</f>
        <v>149280</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5670</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5670</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1492.8</v>
      </c>
      <c r="AP132" s="97">
        <f ca="1">(1+race_food_consumption)*TblPop[[#This Row],[Total]]*food_per_person*(1+tech_1_10*TblTech[[#This Row],[1-10]]+tech_7_5*TblTech[[#This Row],[7-5]])</f>
        <v>584.5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f>
        <v>0</v>
      </c>
      <c r="BD132" s="161"/>
      <c r="BE132" s="161"/>
      <c r="BF132" s="161"/>
      <c r="BG132" s="162">
        <f ca="1">TblProd[[#This Row],[Time]]</f>
        <v>44876.333333333023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820881</v>
      </c>
      <c r="BJ132" s="97">
        <f ca="1">TblProd[[#This Row],[Food]]</f>
        <v>149280</v>
      </c>
      <c r="BK132" s="97">
        <f ca="1">TblProd[[#This Row],[Lumber]]</f>
        <v>76516</v>
      </c>
      <c r="BL132" s="97">
        <f ca="1">TblProd[[#This Row],[Mana]]</f>
        <v>0</v>
      </c>
      <c r="BM132" s="97">
        <f ca="1">TblProd[[#This Row],[Ore]]</f>
        <v>0</v>
      </c>
    </row>
    <row r="133" spans="1:65" x14ac:dyDescent="0.2">
      <c r="A133" s="140">
        <v>58</v>
      </c>
      <c r="B133" s="155">
        <f ca="1">TblImps[[#This Row],[Time]]</f>
        <v>44876.374999999687</v>
      </c>
      <c r="C133" s="156"/>
      <c r="D133" s="157"/>
      <c r="E133" s="97">
        <f ca="1">TblConstr[[#This Row],[Land]]</f>
        <v>250</v>
      </c>
      <c r="F133" s="97">
        <f ca="1">TblPop[[#This Row],[Peasants]]</f>
        <v>2038</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826551</v>
      </c>
      <c r="I133" s="97">
        <f ca="1">OFFSET(TblProd[[#This Row],[Food]],-1,0)+OFFSET(TblProd[[#This Row],[Food/hr]],-1,0)+ROUNDUP((TblConstr[[#This Row],[Farms]]*80+TblConstr[[#This Row],[Docks]]*35)*(1+OFFSET(TblProd[[#This Row],[Bonus Food/hr]],-1,0)),0)</f>
        <v>149783</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5670</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5670</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1497.83</v>
      </c>
      <c r="AP133" s="97">
        <f ca="1">(1+race_food_consumption)*TblPop[[#This Row],[Total]]*food_per_person*(1+tech_1_10*TblTech[[#This Row],[1-10]]+tech_7_5*TblTech[[#This Row],[7-5]])</f>
        <v>584.5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f>
        <v>0</v>
      </c>
      <c r="BD133" s="161"/>
      <c r="BE133" s="161"/>
      <c r="BF133" s="161"/>
      <c r="BG133" s="162">
        <f ca="1">TblProd[[#This Row],[Time]]</f>
        <v>44876.374999999687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826551</v>
      </c>
      <c r="BJ133" s="97">
        <f ca="1">TblProd[[#This Row],[Food]]</f>
        <v>149783</v>
      </c>
      <c r="BK133" s="97">
        <f ca="1">TblProd[[#This Row],[Lumber]]</f>
        <v>76751</v>
      </c>
      <c r="BL133" s="97">
        <f ca="1">TblProd[[#This Row],[Mana]]</f>
        <v>0</v>
      </c>
      <c r="BM133" s="97">
        <f ca="1">TblProd[[#This Row],[Ore]]</f>
        <v>0</v>
      </c>
    </row>
    <row r="134" spans="1:65" x14ac:dyDescent="0.2">
      <c r="A134" s="140">
        <v>59</v>
      </c>
      <c r="B134" s="155">
        <f ca="1">TblImps[[#This Row],[Time]]</f>
        <v>44876.416666666351</v>
      </c>
      <c r="C134" s="156"/>
      <c r="D134" s="157"/>
      <c r="E134" s="97">
        <f ca="1">TblConstr[[#This Row],[Land]]</f>
        <v>250</v>
      </c>
      <c r="F134" s="97">
        <f ca="1">TblPop[[#This Row],[Peasants]]</f>
        <v>2038</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832221</v>
      </c>
      <c r="I134" s="97">
        <f ca="1">OFFSET(TblProd[[#This Row],[Food]],-1,0)+OFFSET(TblProd[[#This Row],[Food/hr]],-1,0)+ROUNDUP((TblConstr[[#This Row],[Farms]]*80+TblConstr[[#This Row],[Docks]]*35)*(1+OFFSET(TblProd[[#This Row],[Bonus Food/hr]],-1,0)),0)</f>
        <v>150281</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5670</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5670</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1502.81</v>
      </c>
      <c r="AP134" s="97">
        <f ca="1">(1+race_food_consumption)*TblPop[[#This Row],[Total]]*food_per_person*(1+tech_1_10*TblTech[[#This Row],[1-10]]+tech_7_5*TblTech[[#This Row],[7-5]])</f>
        <v>584.5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f>
        <v>0</v>
      </c>
      <c r="BD134" s="161"/>
      <c r="BE134" s="161"/>
      <c r="BF134" s="161"/>
      <c r="BG134" s="162">
        <f ca="1">TblProd[[#This Row],[Time]]</f>
        <v>44876.416666666351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832221</v>
      </c>
      <c r="BJ134" s="97">
        <f ca="1">TblProd[[#This Row],[Food]]</f>
        <v>150281</v>
      </c>
      <c r="BK134" s="97">
        <f ca="1">TblProd[[#This Row],[Lumber]]</f>
        <v>76983</v>
      </c>
      <c r="BL134" s="97">
        <f ca="1">TblProd[[#This Row],[Mana]]</f>
        <v>0</v>
      </c>
      <c r="BM134" s="97">
        <f ca="1">TblProd[[#This Row],[Ore]]</f>
        <v>0</v>
      </c>
    </row>
    <row r="135" spans="1:65" x14ac:dyDescent="0.2">
      <c r="A135" s="140">
        <v>60</v>
      </c>
      <c r="B135" s="155">
        <f ca="1">TblImps[[#This Row],[Time]]</f>
        <v>44876.458333333016</v>
      </c>
      <c r="C135" s="156"/>
      <c r="D135" s="157"/>
      <c r="E135" s="97">
        <f ca="1">TblConstr[[#This Row],[Land]]</f>
        <v>250</v>
      </c>
      <c r="F135" s="97">
        <f ca="1">TblPop[[#This Row],[Peasants]]</f>
        <v>2038</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837891</v>
      </c>
      <c r="I135" s="97">
        <f ca="1">OFFSET(TblProd[[#This Row],[Food]],-1,0)+OFFSET(TblProd[[#This Row],[Food/hr]],-1,0)+ROUNDUP((TblConstr[[#This Row],[Farms]]*80+TblConstr[[#This Row],[Docks]]*35)*(1+OFFSET(TblProd[[#This Row],[Bonus Food/hr]],-1,0)),0)</f>
        <v>150774</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5670</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5670</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1507.74</v>
      </c>
      <c r="AP135" s="97">
        <f ca="1">(1+race_food_consumption)*TblPop[[#This Row],[Total]]*food_per_person*(1+tech_1_10*TblTech[[#This Row],[1-10]]+tech_7_5*TblTech[[#This Row],[7-5]])</f>
        <v>584.5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f>
        <v>0</v>
      </c>
      <c r="BD135" s="161"/>
      <c r="BE135" s="161"/>
      <c r="BF135" s="161"/>
      <c r="BG135" s="162">
        <f ca="1">TblProd[[#This Row],[Time]]</f>
        <v>44876.458333333016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837891</v>
      </c>
      <c r="BJ135" s="97">
        <f ca="1">TblProd[[#This Row],[Food]]</f>
        <v>150774</v>
      </c>
      <c r="BK135" s="97">
        <f ca="1">TblProd[[#This Row],[Lumber]]</f>
        <v>77213</v>
      </c>
      <c r="BL135" s="97">
        <f ca="1">TblProd[[#This Row],[Mana]]</f>
        <v>0</v>
      </c>
      <c r="BM135" s="97">
        <f ca="1">TblProd[[#This Row],[Ore]]</f>
        <v>0</v>
      </c>
    </row>
    <row r="136" spans="1:65" x14ac:dyDescent="0.2">
      <c r="A136" s="140">
        <v>61</v>
      </c>
      <c r="B136" s="155">
        <f ca="1">TblImps[[#This Row],[Time]]</f>
        <v>44876.49999999968</v>
      </c>
      <c r="C136" s="156"/>
      <c r="D136" s="157"/>
      <c r="E136" s="97">
        <f ca="1">TblConstr[[#This Row],[Land]]</f>
        <v>250</v>
      </c>
      <c r="F136" s="97">
        <f ca="1">TblPop[[#This Row],[Peasants]]</f>
        <v>2038</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843561</v>
      </c>
      <c r="I136" s="97">
        <f ca="1">OFFSET(TblProd[[#This Row],[Food]],-1,0)+OFFSET(TblProd[[#This Row],[Food/hr]],-1,0)+ROUNDUP((TblConstr[[#This Row],[Farms]]*80+TblConstr[[#This Row],[Docks]]*35)*(1+OFFSET(TblProd[[#This Row],[Bonus Food/hr]],-1,0)),0)</f>
        <v>151262</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1512.6200000000001</v>
      </c>
      <c r="AP136" s="97">
        <f ca="1">(1+race_food_consumption)*TblPop[[#This Row],[Total]]*food_per_person*(1+tech_1_10*TblTech[[#This Row],[1-10]]+tech_7_5*TblTech[[#This Row],[7-5]])</f>
        <v>584.5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f>
        <v>0</v>
      </c>
      <c r="BD136" s="161"/>
      <c r="BE136" s="161"/>
      <c r="BF136" s="161"/>
      <c r="BG136" s="162">
        <f ca="1">TblProd[[#This Row],[Time]]</f>
        <v>44876.49999999968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843561</v>
      </c>
      <c r="BJ136" s="97">
        <f ca="1">TblProd[[#This Row],[Food]]</f>
        <v>151262</v>
      </c>
      <c r="BK136" s="97">
        <f ca="1">TblProd[[#This Row],[Lumber]]</f>
        <v>77441</v>
      </c>
      <c r="BL136" s="97">
        <f ca="1">TblProd[[#This Row],[Mana]]</f>
        <v>0</v>
      </c>
      <c r="BM136" s="97">
        <f ca="1">TblProd[[#This Row],[Ore]]</f>
        <v>0</v>
      </c>
    </row>
    <row r="1269" spans="3:12" x14ac:dyDescent="0.2">
      <c r="C1269" s="490" t="s">
        <v>321</v>
      </c>
      <c r="D1269" s="447"/>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65" priority="58" stopIfTrue="1">
      <formula>ROW()-2=#REF!</formula>
    </cfRule>
  </conditionalFormatting>
  <conditionalFormatting sqref="A1269:XFD1270">
    <cfRule type="expression" dxfId="64" priority="59" stopIfTrue="1">
      <formula>$C$1270&gt;144</formula>
    </cfRule>
  </conditionalFormatting>
  <conditionalFormatting sqref="E4:Q136">
    <cfRule type="expression" dxfId="63" priority="39" stopIfTrue="1">
      <formula>OR(ROW()-3=$C$1270,E4&lt;0)</formula>
    </cfRule>
  </conditionalFormatting>
  <conditionalFormatting sqref="BH4:BH136">
    <cfRule type="cellIs" dxfId="62" priority="61" stopIfTrue="1" operator="equal">
      <formula>"Nope"</formula>
    </cfRule>
  </conditionalFormatting>
  <conditionalFormatting sqref="A4:BM136">
    <cfRule type="expression" dxfId="61" priority="1" stopIfTrue="1">
      <formula>ROW()-3=$C$1270</formula>
    </cfRule>
    <cfRule type="expression" dxfId="60" priority="56">
      <formula>$A4="OOP"</formula>
    </cfRule>
    <cfRule type="expression" dxfId="59" priority="57">
      <formula>ROUND(($A4-1)/12,0)=INT($A4-1)/12</formula>
    </cfRule>
  </conditionalFormatting>
  <conditionalFormatting sqref="A1:XFD3">
    <cfRule type="expression" dxfId="5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bestFit="1" customWidth="1"/>
    <col min="42" max="42" width="10.85546875" style="45" bestFit="1" customWidth="1"/>
    <col min="43" max="44" width="8.7109375" style="45" bestFit="1" customWidth="1"/>
    <col min="45" max="45" width="8.140625" style="45" bestFit="1" customWidth="1"/>
    <col min="46" max="46" width="8.5703125" style="45" bestFit="1"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93" width="5.28515625" style="45" customWidth="1"/>
    <col min="94" max="94" width="3.85546875" style="45" customWidth="1"/>
    <col min="95" max="95" width="8" style="57" bestFit="1" customWidth="1"/>
    <col min="96" max="96" width="9" style="57" bestFit="1" customWidth="1"/>
    <col min="97" max="97" width="11.85546875" style="57" bestFit="1" customWidth="1"/>
    <col min="98" max="98" width="6.85546875" style="57" bestFit="1" customWidth="1"/>
    <col min="99" max="99" width="9.7109375" style="57" bestFit="1" customWidth="1"/>
    <col min="100" max="100" width="9.5703125" style="57" bestFit="1" customWidth="1"/>
    <col min="101" max="101" width="9" style="57" bestFit="1" customWidth="1"/>
    <col min="102" max="102" width="11.85546875" style="45" customWidth="1"/>
    <col min="103" max="103" width="2.7109375" style="45" customWidth="1"/>
    <col min="104" max="114" width="10.7109375" style="45" customWidth="1"/>
    <col min="115" max="16384" width="9.140625" style="45"/>
  </cols>
  <sheetData>
    <row r="1" spans="1:114" x14ac:dyDescent="0.2">
      <c r="A1" s="176"/>
      <c r="B1" s="176"/>
      <c r="C1" s="176"/>
      <c r="D1" s="5"/>
      <c r="E1" s="5"/>
      <c r="F1" s="28"/>
      <c r="G1" s="28" t="s">
        <v>54</v>
      </c>
      <c r="H1" s="28"/>
      <c r="I1" s="28"/>
      <c r="J1" s="28"/>
      <c r="K1" s="28"/>
      <c r="L1" s="28"/>
      <c r="M1" s="28"/>
      <c r="N1" s="28"/>
      <c r="O1" s="493" t="s">
        <v>56</v>
      </c>
      <c r="P1" s="493"/>
      <c r="Q1" s="447"/>
      <c r="R1" s="5"/>
      <c r="S1" s="5"/>
      <c r="T1" s="5"/>
      <c r="U1" s="5"/>
      <c r="V1" s="5"/>
      <c r="W1" s="5"/>
      <c r="X1" s="5"/>
      <c r="Y1" s="5"/>
      <c r="Z1" s="5"/>
      <c r="AA1" s="5"/>
      <c r="AB1" s="5"/>
      <c r="AC1" s="5"/>
      <c r="AD1" s="5"/>
      <c r="AE1" s="5"/>
      <c r="AF1" s="5"/>
      <c r="AG1" s="5"/>
      <c r="AH1" s="5"/>
      <c r="AI1" s="177" t="s">
        <v>522</v>
      </c>
      <c r="AJ1" s="177" t="s">
        <v>525</v>
      </c>
      <c r="AK1" s="493" t="s">
        <v>77</v>
      </c>
      <c r="AL1" s="493"/>
      <c r="AM1" s="491" t="s">
        <v>523</v>
      </c>
      <c r="AN1" s="491"/>
      <c r="AO1" s="491" t="s">
        <v>524</v>
      </c>
      <c r="AP1" s="491"/>
      <c r="AQ1" s="491" t="s">
        <v>521</v>
      </c>
      <c r="AR1" s="491"/>
      <c r="AS1" s="5"/>
      <c r="AT1" s="5"/>
      <c r="AU1" s="5"/>
      <c r="AV1" s="5" t="s">
        <v>520</v>
      </c>
      <c r="AW1" s="5"/>
      <c r="AX1" s="5"/>
      <c r="AY1" s="491" t="s">
        <v>53</v>
      </c>
      <c r="AZ1" s="491"/>
      <c r="BA1" s="491"/>
      <c r="BB1" s="28"/>
      <c r="BC1" s="28"/>
      <c r="BD1" s="28"/>
      <c r="BE1" s="28"/>
      <c r="BF1" s="28"/>
      <c r="BG1" s="28"/>
      <c r="BH1" s="28"/>
      <c r="BI1" s="28"/>
      <c r="BJ1" s="28"/>
      <c r="BK1" s="28"/>
      <c r="BL1" s="28"/>
      <c r="BM1" s="28"/>
      <c r="BN1" s="28"/>
      <c r="BO1" s="28"/>
      <c r="BP1" s="28"/>
      <c r="BQ1" s="28"/>
      <c r="BR1" s="5"/>
      <c r="BS1" s="5"/>
      <c r="BT1" s="5"/>
      <c r="BU1" s="5"/>
      <c r="BV1" s="5"/>
      <c r="BW1" s="493" t="s">
        <v>84</v>
      </c>
      <c r="BX1" s="493"/>
      <c r="BY1" s="5"/>
      <c r="BZ1" s="5"/>
      <c r="CA1" s="5"/>
      <c r="CB1" s="5"/>
      <c r="CC1" s="5"/>
      <c r="CD1" s="5"/>
      <c r="CE1" s="5"/>
      <c r="CF1" s="5"/>
      <c r="CG1" s="5"/>
      <c r="CH1" s="5"/>
      <c r="CI1" s="5"/>
      <c r="CJ1" s="5"/>
      <c r="CK1" s="5"/>
      <c r="CL1" s="5"/>
      <c r="CM1" s="5"/>
      <c r="CN1" s="5"/>
      <c r="CO1" s="5"/>
      <c r="CP1" s="5"/>
      <c r="CQ1" s="491" t="s">
        <v>18</v>
      </c>
      <c r="CR1" s="491"/>
      <c r="CS1" s="28"/>
      <c r="CT1" s="28"/>
      <c r="CU1" s="28"/>
      <c r="CV1" s="28"/>
      <c r="CW1" s="28"/>
      <c r="CX1" s="5"/>
      <c r="CY1" s="5"/>
      <c r="CZ1" s="493" t="s">
        <v>300</v>
      </c>
      <c r="DA1" s="493"/>
      <c r="DB1" s="493"/>
      <c r="DC1" s="493"/>
      <c r="DD1" s="493"/>
      <c r="DE1" s="5"/>
      <c r="DF1" s="5"/>
      <c r="DG1" s="493" t="s">
        <v>263</v>
      </c>
      <c r="DH1" s="493"/>
      <c r="DI1" s="5" t="s">
        <v>540</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1024</v>
      </c>
      <c r="E3" s="138" t="s">
        <v>791</v>
      </c>
      <c r="F3" s="138" t="s">
        <v>1</v>
      </c>
      <c r="G3" s="173" t="s">
        <v>249</v>
      </c>
      <c r="H3" s="138" t="s">
        <v>58</v>
      </c>
      <c r="I3" s="138" t="s">
        <v>251</v>
      </c>
      <c r="J3" s="138" t="s">
        <v>250</v>
      </c>
      <c r="K3" s="138" t="s">
        <v>60</v>
      </c>
      <c r="L3" s="138" t="s">
        <v>248</v>
      </c>
      <c r="M3" s="138" t="s">
        <v>62</v>
      </c>
      <c r="N3" s="138" t="s">
        <v>1068</v>
      </c>
      <c r="O3" s="174" t="s">
        <v>72</v>
      </c>
      <c r="P3" s="174" t="s">
        <v>71</v>
      </c>
      <c r="Q3" s="174" t="s">
        <v>70</v>
      </c>
      <c r="R3" s="174" t="s">
        <v>69</v>
      </c>
      <c r="S3" s="174" t="s">
        <v>68</v>
      </c>
      <c r="T3" s="174" t="s">
        <v>63</v>
      </c>
      <c r="U3" s="174" t="s">
        <v>353</v>
      </c>
      <c r="V3" s="174" t="s">
        <v>64</v>
      </c>
      <c r="W3" s="174" t="s">
        <v>65</v>
      </c>
      <c r="X3" s="174" t="s">
        <v>66</v>
      </c>
      <c r="Y3" s="174" t="s">
        <v>67</v>
      </c>
      <c r="Z3" s="174" t="s">
        <v>355</v>
      </c>
      <c r="AA3" s="174" t="s">
        <v>358</v>
      </c>
      <c r="AB3" s="174" t="s">
        <v>74</v>
      </c>
      <c r="AC3" s="174" t="s">
        <v>356</v>
      </c>
      <c r="AD3" s="174" t="s">
        <v>302</v>
      </c>
      <c r="AE3" s="174" t="s">
        <v>75</v>
      </c>
      <c r="AF3" s="174" t="s">
        <v>376</v>
      </c>
      <c r="AG3" s="174" t="s">
        <v>76</v>
      </c>
      <c r="AH3" s="138" t="s">
        <v>368</v>
      </c>
      <c r="AI3" s="138" t="s">
        <v>833</v>
      </c>
      <c r="AJ3" s="138" t="s">
        <v>834</v>
      </c>
      <c r="AK3" s="138" t="s">
        <v>2</v>
      </c>
      <c r="AL3" s="138" t="s">
        <v>7</v>
      </c>
      <c r="AM3" s="138" t="s">
        <v>829</v>
      </c>
      <c r="AN3" s="138" t="s">
        <v>830</v>
      </c>
      <c r="AO3" s="138" t="s">
        <v>831</v>
      </c>
      <c r="AP3" s="138" t="s">
        <v>832</v>
      </c>
      <c r="AQ3" s="138" t="s">
        <v>1056</v>
      </c>
      <c r="AR3" s="138" t="s">
        <v>1057</v>
      </c>
      <c r="AS3" s="138" t="s">
        <v>526</v>
      </c>
      <c r="AT3" s="138" t="s">
        <v>527</v>
      </c>
      <c r="AU3" s="138" t="s">
        <v>792</v>
      </c>
      <c r="AV3" s="138" t="s">
        <v>835</v>
      </c>
      <c r="AW3" s="138" t="s">
        <v>836</v>
      </c>
      <c r="AX3" s="138" t="s">
        <v>793</v>
      </c>
      <c r="AY3" s="173" t="s">
        <v>837</v>
      </c>
      <c r="AZ3" s="138" t="s">
        <v>838</v>
      </c>
      <c r="BA3" s="138" t="s">
        <v>839</v>
      </c>
      <c r="BB3" s="138" t="s">
        <v>840</v>
      </c>
      <c r="BC3" s="138" t="s">
        <v>841</v>
      </c>
      <c r="BD3" s="138" t="s">
        <v>842</v>
      </c>
      <c r="BE3" s="138" t="s">
        <v>843</v>
      </c>
      <c r="BF3" s="138" t="s">
        <v>844</v>
      </c>
      <c r="BG3" s="138" t="s">
        <v>845</v>
      </c>
      <c r="BH3" s="138" t="s">
        <v>846</v>
      </c>
      <c r="BI3" s="138" t="s">
        <v>847</v>
      </c>
      <c r="BJ3" s="138" t="s">
        <v>848</v>
      </c>
      <c r="BK3" s="138" t="s">
        <v>849</v>
      </c>
      <c r="BL3" s="138" t="s">
        <v>850</v>
      </c>
      <c r="BM3" s="138" t="s">
        <v>851</v>
      </c>
      <c r="BN3" s="138" t="s">
        <v>852</v>
      </c>
      <c r="BO3" s="138" t="s">
        <v>853</v>
      </c>
      <c r="BP3" s="138" t="s">
        <v>854</v>
      </c>
      <c r="BQ3" s="175" t="s">
        <v>855</v>
      </c>
      <c r="BR3" s="138" t="s">
        <v>808</v>
      </c>
      <c r="BS3" s="138" t="s">
        <v>809</v>
      </c>
      <c r="BT3" s="138" t="s">
        <v>900</v>
      </c>
      <c r="BU3" s="138" t="s">
        <v>878</v>
      </c>
      <c r="BV3" s="138" t="s">
        <v>810</v>
      </c>
      <c r="BW3" s="138" t="s">
        <v>1039</v>
      </c>
      <c r="BX3" s="138" t="s">
        <v>921</v>
      </c>
      <c r="BY3" s="138" t="s">
        <v>922</v>
      </c>
      <c r="BZ3" s="138" t="s">
        <v>923</v>
      </c>
      <c r="CA3" s="138" t="s">
        <v>924</v>
      </c>
      <c r="CB3" s="138" t="s">
        <v>925</v>
      </c>
      <c r="CC3" s="138" t="s">
        <v>926</v>
      </c>
      <c r="CD3" s="138" t="s">
        <v>927</v>
      </c>
      <c r="CE3" s="138" t="s">
        <v>928</v>
      </c>
      <c r="CF3" s="138" t="s">
        <v>929</v>
      </c>
      <c r="CG3" s="138" t="s">
        <v>930</v>
      </c>
      <c r="CH3" s="138" t="s">
        <v>931</v>
      </c>
      <c r="CI3" s="138" t="s">
        <v>932</v>
      </c>
      <c r="CJ3" s="138" t="s">
        <v>933</v>
      </c>
      <c r="CK3" s="138" t="s">
        <v>934</v>
      </c>
      <c r="CL3" s="138" t="s">
        <v>935</v>
      </c>
      <c r="CM3" s="138" t="s">
        <v>936</v>
      </c>
      <c r="CN3" s="138" t="s">
        <v>937</v>
      </c>
      <c r="CO3" s="138" t="s">
        <v>938</v>
      </c>
      <c r="CP3" s="138" t="s">
        <v>884</v>
      </c>
      <c r="CQ3" s="138" t="s">
        <v>821</v>
      </c>
      <c r="CR3" s="138" t="s">
        <v>822</v>
      </c>
      <c r="CS3" s="138" t="s">
        <v>823</v>
      </c>
      <c r="CT3" s="138" t="s">
        <v>824</v>
      </c>
      <c r="CU3" s="138" t="s">
        <v>825</v>
      </c>
      <c r="CV3" s="138" t="s">
        <v>826</v>
      </c>
      <c r="CW3" s="138" t="s">
        <v>827</v>
      </c>
      <c r="CX3" s="138" t="s">
        <v>263</v>
      </c>
      <c r="CY3" s="138" t="s">
        <v>885</v>
      </c>
      <c r="CZ3" s="138" t="s">
        <v>889</v>
      </c>
      <c r="DA3" s="138" t="s">
        <v>890</v>
      </c>
      <c r="DB3" s="138" t="s">
        <v>891</v>
      </c>
      <c r="DC3" s="138" t="s">
        <v>892</v>
      </c>
      <c r="DD3" s="138" t="s">
        <v>893</v>
      </c>
      <c r="DE3" s="138" t="s">
        <v>894</v>
      </c>
      <c r="DF3" s="138" t="s">
        <v>895</v>
      </c>
      <c r="DG3" s="138" t="s">
        <v>828</v>
      </c>
      <c r="DH3" s="138" t="s">
        <v>301</v>
      </c>
      <c r="DI3" s="138" t="s">
        <v>541</v>
      </c>
      <c r="DJ3" s="138" t="s">
        <v>542</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44871</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44871</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44871.041666666664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44871.041666666664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44871.083333333328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44871.083333333328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44871.124999999993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44871.124999999993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44871.166666666657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44871.166666666657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44871.208333333321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44871.208333333321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44871.249999999985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44871.249999999985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44871.29166666665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44871.29166666665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44871.333333333314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44871.333333333314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44871.374999999978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44871.374999999978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44871.416666666642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44871.416666666642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44871.458333333307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44871.458333333307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44871.499999999971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44871.499999999971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44871.541666666635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44871.541666666635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44871.583333333299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44871.583333333299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44871.624999999964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44871.624999999964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44871.666666666628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44871.666666666628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44871.708333333292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44871.708333333292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44871.749999999956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44871.749999999956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44871.791666666621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44871.791666666621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44871.833333333285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44871.833333333285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44871.874999999949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44871.874999999949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44871.916666666613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44871.916666666613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44871.958333333278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44871.958333333278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44871.999999999942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44871.999999999942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44872.041666666606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44872.041666666606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44872.08333333327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44872.08333333327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44872.124999999935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44872.124999999935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44872.166666666599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44872.166666666599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44872.208333333263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44872.208333333263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44872.249999999927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265221</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44872.249999999927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44872.291666666591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270891</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44872.291666666591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61"/>
      <c r="Q36" s="182"/>
      <c r="R36" s="182"/>
      <c r="S36" s="182"/>
      <c r="T36" s="182"/>
      <c r="U36" s="182"/>
      <c r="V36" s="182"/>
      <c r="W36" s="182"/>
      <c r="X36" s="182"/>
      <c r="Y36" s="182"/>
      <c r="Z36" s="182"/>
      <c r="AA36" s="182"/>
      <c r="AB36" s="182"/>
      <c r="AC36" s="182"/>
      <c r="AD36" s="182"/>
      <c r="AE36" s="182"/>
      <c r="AF36" s="182"/>
      <c r="AG36" s="182"/>
      <c r="AH36" s="53">
        <f ca="1">TblImps[[#This Row],[Time]]</f>
        <v>44872.333333333256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276561</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44872.333333333256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61"/>
      <c r="Q37" s="182"/>
      <c r="R37" s="182"/>
      <c r="S37" s="182"/>
      <c r="T37" s="182"/>
      <c r="U37" s="182"/>
      <c r="V37" s="182"/>
      <c r="W37" s="182"/>
      <c r="X37" s="182"/>
      <c r="Y37" s="182"/>
      <c r="Z37" s="182"/>
      <c r="AA37" s="182"/>
      <c r="AB37" s="182"/>
      <c r="AC37" s="182"/>
      <c r="AD37" s="182"/>
      <c r="AE37" s="182"/>
      <c r="AF37" s="182"/>
      <c r="AG37" s="182"/>
      <c r="AH37" s="53">
        <f ca="1">TblImps[[#This Row],[Time]]</f>
        <v>44872.37499999992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282231</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44872.37499999992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61"/>
      <c r="Q38" s="182"/>
      <c r="R38" s="182"/>
      <c r="S38" s="182"/>
      <c r="T38" s="182"/>
      <c r="U38" s="182"/>
      <c r="V38" s="182"/>
      <c r="W38" s="182"/>
      <c r="X38" s="182"/>
      <c r="Y38" s="182"/>
      <c r="Z38" s="182"/>
      <c r="AA38" s="182"/>
      <c r="AB38" s="182"/>
      <c r="AC38" s="182"/>
      <c r="AD38" s="182"/>
      <c r="AE38" s="182"/>
      <c r="AF38" s="161"/>
      <c r="AG38" s="182"/>
      <c r="AH38" s="53">
        <f ca="1">TblImps[[#This Row],[Time]]</f>
        <v>44872.416666666584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287901</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44872.416666666584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44872.458333333248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293571</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44872.458333333248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44872.499999999913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299241</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44872.499999999913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44872.541666666577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304911</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44872.541666666577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44872.583333333241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310581</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44872.583333333241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44872.624999999905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316251</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44872.624999999905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44872.66666666657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321921</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44872.66666666657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44872.708333333234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327591</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44872.708333333234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44872.749999999898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333261</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44872.749999999898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44872.791666666562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338931</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44872.791666666562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44872.833333333227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344601</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44872.833333333227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44872.874999999891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350271</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44872.874999999891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44872.916666666555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355941</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44872.916666666555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44872.958333333219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361611</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44872.958333333219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44872.999999999884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367281</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44872.999999999884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44873.041666666548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372951</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44873.041666666548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44873.083333333212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378621</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44873.083333333212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44873.124999999876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384291</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44873.124999999876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44873.166666666541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389961</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44873.166666666541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44873.208333333205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395631</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44873.208333333205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44873.249999999869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401301</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44873.249999999869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44873.291666666533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406971</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44873.291666666533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44873.333333333198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412641</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44873.333333333198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44873.374999999862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418311</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44873.374999999862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44873.416666666526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423981</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44873.416666666526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44873.45833333319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429651</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44873.45833333319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44873.499999999854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435321</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44873.499999999854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44873.541666666519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440991</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44873.541666666519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44873.583333333183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446661</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44873.583333333183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44873.624999999847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452331</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44873.624999999847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44873.666666666511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458001</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44873.666666666511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44873.708333333176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463671</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44873.708333333176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44873.74999999984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469341</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44873.74999999984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44873.791666666504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475011</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44873.791666666504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44873.833333333168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480681</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44873.833333333168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44873.874999999833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486351</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44873.874999999833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44873.916666666497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492021</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44873.916666666497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44873.958333333161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497691</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44873.958333333161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44873.999999999825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503361</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211">
        <f ca="1">TblConstr[[#This Row],[build -db]]*TblConstr[[#This Row],[CPA Platinum -DB]] + TblConstr[[#This Row],[build db]]*TblConstr[[#This Row],[CPA Platinum DB]]</f>
        <v>0</v>
      </c>
      <c r="AR76" s="211">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44873.999999999825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44874.04166666649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509031</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44874.04166666649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44874.083333333154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514701</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44874.083333333154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44874.124999999818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520371</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44874.124999999818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44874.166666666482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526041</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44874.166666666482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44874.208333333147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531711</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44874.208333333147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44874.249999999811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537381</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44874.249999999811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44874.291666666475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543051</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44874.291666666475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44874.333333333139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548721</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44874.333333333139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44874.374999999804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554391</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44874.374999999804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44874.416666666468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560061</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44874.416666666468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44874.458333333132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565731</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44874.458333333132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44874.499999999796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571401</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44874.499999999796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44874.541666666461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577071</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44874.541666666461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44874.583333333125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582741</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44874.583333333125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44874.624999999789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588411</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44874.624999999789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44874.666666666453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594081</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44874.666666666453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44874.708333333117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599751</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44874.708333333117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44874.749999999782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605421</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44874.749999999782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44874.791666666446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611091</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44874.791666666446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44874.83333333311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616761</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44874.83333333311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44874.874999999774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622431</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44874.874999999774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44874.916666666439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628101</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44874.916666666439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44874.958333333103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633771</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44874.958333333103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44874.999999999767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639441</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44874.999999999767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44875.041666666431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645111</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44875.041666666431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44875.083333333096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650781</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44875.083333333096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44875.12499999976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656451</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44875.12499999976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44875.166666666424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662121</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44875.166666666424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44875.208333333088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667791</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44875.208333333088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44875.249999999753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673461</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44875.249999999753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44875.291666666417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679131</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44875.291666666417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44875.333333333081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684801</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44875.333333333081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44875.374999999745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690471</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44875.374999999745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44875.41666666641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696141</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44875.41666666641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44875.458333333074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701811</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44875.458333333074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44875.499999999738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707481</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44875.499999999738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44875.541666666402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713151</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44875.541666666402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44875.583333333067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718821</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44875.583333333067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44875.624999999731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724491</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44875.624999999731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44875.666666666395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730161</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44875.666666666395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44875.708333333059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735831</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44875.708333333059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44875.749999999724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741501</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44875.749999999724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44875.791666666388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747171</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44875.791666666388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44875.833333333052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752841</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44875.833333333052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44875.874999999716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758511</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44875.874999999716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44875.91666666638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764181</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44875.91666666638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44875.958333333045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769851</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44875.958333333045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44875.999999999709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775521</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44875.999999999709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44876.041666666373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781191</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44876.041666666373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44876.083333333037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786861</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44876.083333333037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44876.124999999702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792531</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44876.124999999702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44876.166666666366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798201</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44876.166666666366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44876.20833333303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803871</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44876.20833333303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44876.249999999694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809541</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44876.249999999694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44876.291666666359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815211</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44876.291666666359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44876.333333333023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820881</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44876.333333333023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44876.374999999687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826551</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44876.374999999687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44876.416666666351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832221</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44876.416666666351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44876.458333333016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837891</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44876.458333333016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44876.49999999968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843561</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44876.49999999968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0" t="s">
        <v>321</v>
      </c>
      <c r="B1269" s="44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57" priority="67" stopIfTrue="1">
      <formula>XEZ137&lt;0</formula>
    </cfRule>
  </conditionalFormatting>
  <conditionalFormatting sqref="A137:D1268 A1271:D65537 F1271:H65537 F137:H1268">
    <cfRule type="expression" dxfId="56" priority="68" stopIfTrue="1">
      <formula>XEV137&lt;0</formula>
    </cfRule>
  </conditionalFormatting>
  <conditionalFormatting sqref="E1271:E65537 E137:E1268">
    <cfRule type="expression" dxfId="55" priority="69" stopIfTrue="1">
      <formula>XEU137&lt;0</formula>
    </cfRule>
  </conditionalFormatting>
  <conditionalFormatting sqref="DI1271:DJ52023 O1271:AG52052 O137:AG1268 BV1271:DH52052 BV137:DJ1268">
    <cfRule type="expression" dxfId="54" priority="70" stopIfTrue="1">
      <formula>ROW()-2=#REF!</formula>
    </cfRule>
  </conditionalFormatting>
  <conditionalFormatting sqref="A1269:AG1270 BV1269:DJ1270">
    <cfRule type="expression" dxfId="53" priority="71" stopIfTrue="1">
      <formula>$A$1270&gt;144</formula>
    </cfRule>
  </conditionalFormatting>
  <conditionalFormatting sqref="K1271:L65537 K137:L1268">
    <cfRule type="expression" dxfId="52" priority="89" stopIfTrue="1">
      <formula>A137&lt;0</formula>
    </cfRule>
  </conditionalFormatting>
  <conditionalFormatting sqref="AY4:BQ136">
    <cfRule type="expression" dxfId="51" priority="1" stopIfTrue="1">
      <formula>OR(AY4&lt;0,ROW()-3=$A$1270)</formula>
    </cfRule>
  </conditionalFormatting>
  <conditionalFormatting sqref="I1271:J65537 I137:J1268">
    <cfRule type="expression" dxfId="50" priority="92" stopIfTrue="1">
      <formula>A137&lt;0</formula>
    </cfRule>
  </conditionalFormatting>
  <conditionalFormatting sqref="A4:DJ136">
    <cfRule type="expression" dxfId="49" priority="7" stopIfTrue="1">
      <formula>ROW()-3=$A$1270</formula>
    </cfRule>
    <cfRule type="expression" dxfId="48" priority="130">
      <formula>$A4=73</formula>
    </cfRule>
    <cfRule type="expression" dxfId="47" priority="131">
      <formula>ROUND(($A4-1)/12,0)=INT($A4-1)/12</formula>
    </cfRule>
  </conditionalFormatting>
  <conditionalFormatting sqref="A1:XFD3">
    <cfRule type="expression" dxfId="46"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16384" width="3.42578125" style="45"/>
  </cols>
  <sheetData>
    <row r="1" spans="1:36" s="5" customFormat="1" x14ac:dyDescent="0.2">
      <c r="A1" s="28"/>
      <c r="B1" s="28"/>
      <c r="D1" s="5" t="s">
        <v>54</v>
      </c>
      <c r="K1" s="219"/>
      <c r="L1" s="494" t="s">
        <v>306</v>
      </c>
      <c r="M1" s="447"/>
      <c r="N1" s="447"/>
      <c r="O1" s="447"/>
      <c r="P1" s="447"/>
      <c r="Q1" s="447"/>
      <c r="R1" s="28"/>
      <c r="S1" s="5" t="s">
        <v>360</v>
      </c>
      <c r="T1" s="5" t="s">
        <v>181</v>
      </c>
      <c r="AB1" s="493" t="s">
        <v>77</v>
      </c>
      <c r="AC1" s="493"/>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791</v>
      </c>
      <c r="D3" s="138" t="s">
        <v>55</v>
      </c>
      <c r="E3" s="138" t="s">
        <v>58</v>
      </c>
      <c r="F3" s="138" t="s">
        <v>1047</v>
      </c>
      <c r="G3" s="138" t="s">
        <v>59</v>
      </c>
      <c r="H3" s="138" t="s">
        <v>60</v>
      </c>
      <c r="I3" s="138" t="s">
        <v>61</v>
      </c>
      <c r="J3" s="138" t="s">
        <v>62</v>
      </c>
      <c r="K3" s="222" t="s">
        <v>896</v>
      </c>
      <c r="L3" s="222" t="s">
        <v>897</v>
      </c>
      <c r="M3" s="222" t="s">
        <v>898</v>
      </c>
      <c r="N3" s="223" t="s">
        <v>189</v>
      </c>
      <c r="O3" s="223" t="s">
        <v>370</v>
      </c>
      <c r="P3" s="223" t="s">
        <v>369</v>
      </c>
      <c r="Q3" s="138" t="s">
        <v>900</v>
      </c>
      <c r="R3" s="138" t="s">
        <v>873</v>
      </c>
      <c r="S3" s="138" t="s">
        <v>901</v>
      </c>
      <c r="T3" s="138" t="s">
        <v>1040</v>
      </c>
      <c r="U3" s="138" t="s">
        <v>1041</v>
      </c>
      <c r="V3" s="138" t="s">
        <v>1042</v>
      </c>
      <c r="W3" s="138" t="s">
        <v>1043</v>
      </c>
      <c r="X3" s="138" t="s">
        <v>1044</v>
      </c>
      <c r="Y3" s="138" t="s">
        <v>1045</v>
      </c>
      <c r="Z3" s="138" t="s">
        <v>1046</v>
      </c>
      <c r="AA3" s="138" t="s">
        <v>316</v>
      </c>
      <c r="AB3" s="138" t="s">
        <v>24</v>
      </c>
      <c r="AC3" s="138" t="s">
        <v>2</v>
      </c>
      <c r="AD3" s="138" t="s">
        <v>792</v>
      </c>
      <c r="AE3" s="138" t="s">
        <v>517</v>
      </c>
      <c r="AF3" s="138" t="s">
        <v>57</v>
      </c>
      <c r="AG3" s="138" t="s">
        <v>183</v>
      </c>
      <c r="AH3" s="138" t="s">
        <v>899</v>
      </c>
      <c r="AI3" s="138" t="s">
        <v>886</v>
      </c>
      <c r="AJ3" s="224" t="s">
        <v>779</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44871</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0.68956743002544529</v>
      </c>
      <c r="Q5" s="178">
        <f ca="1">TblExplore[[#This Row],[Land]]</f>
        <v>250</v>
      </c>
      <c r="R5" s="178">
        <f>TblExplore[[#This Row],[Hour]]</f>
        <v>2</v>
      </c>
      <c r="S5" s="229"/>
      <c r="T5" s="182"/>
      <c r="U5" s="182"/>
      <c r="V5" s="182"/>
      <c r="W5" s="182"/>
      <c r="X5" s="182"/>
      <c r="Y5" s="182"/>
      <c r="Z5" s="182"/>
      <c r="AA5" s="162">
        <f ca="1">TblImps[[#This Row],[Real time]]</f>
        <v>44871.041666666664</v>
      </c>
      <c r="AB5" s="97">
        <f ca="1">TblMili[[#This Row],[Draftees]]</f>
        <v>100</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25</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0.7005937234944869</v>
      </c>
      <c r="Q6" s="178">
        <f ca="1">TblExplore[[#This Row],[Land]]</f>
        <v>250</v>
      </c>
      <c r="R6" s="178">
        <f>TblExplore[[#This Row],[Hour]]</f>
        <v>3</v>
      </c>
      <c r="S6" s="229"/>
      <c r="T6" s="182"/>
      <c r="U6" s="182"/>
      <c r="V6" s="182"/>
      <c r="W6" s="182"/>
      <c r="X6" s="182"/>
      <c r="Y6" s="182"/>
      <c r="Z6" s="182"/>
      <c r="AA6" s="162">
        <f ca="1">TblImps[[#This Row],[Real time]]</f>
        <v>44871.083333333328</v>
      </c>
      <c r="AB6" s="97">
        <f ca="1">TblMili[[#This Row],[Draftees]]</f>
        <v>100</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25</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0.71162001696352839</v>
      </c>
      <c r="Q7" s="178">
        <f ca="1">TblExplore[[#This Row],[Land]]</f>
        <v>250</v>
      </c>
      <c r="R7" s="178">
        <f>TblExplore[[#This Row],[Hour]]</f>
        <v>4</v>
      </c>
      <c r="S7" s="229"/>
      <c r="T7" s="161"/>
      <c r="U7" s="182"/>
      <c r="V7" s="182"/>
      <c r="W7" s="182"/>
      <c r="X7" s="182"/>
      <c r="Y7" s="182"/>
      <c r="Z7" s="182"/>
      <c r="AA7" s="162">
        <f ca="1">TblImps[[#This Row],[Real time]]</f>
        <v>44871.124999999993</v>
      </c>
      <c r="AB7" s="97">
        <f ca="1">TblMili[[#This Row],[Draftees]]</f>
        <v>100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25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0.72307039864291778</v>
      </c>
      <c r="Q8" s="178">
        <f ca="1">TblExplore[[#This Row],[Land]]</f>
        <v>250</v>
      </c>
      <c r="R8" s="178">
        <f>TblExplore[[#This Row],[Hour]]</f>
        <v>5</v>
      </c>
      <c r="S8" s="229"/>
      <c r="T8" s="161"/>
      <c r="U8" s="182"/>
      <c r="V8" s="182"/>
      <c r="W8" s="182"/>
      <c r="X8" s="182"/>
      <c r="Y8" s="182"/>
      <c r="Z8" s="182"/>
      <c r="AA8" s="162">
        <f ca="1">TblImps[[#This Row],[Real time]]</f>
        <v>44871.166666666657</v>
      </c>
      <c r="AB8" s="97">
        <f ca="1">TblMili[[#This Row],[Draftees]]</f>
        <v>100</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25</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0.73494486853265484</v>
      </c>
      <c r="Q9" s="178">
        <f ca="1">TblExplore[[#This Row],[Land]]</f>
        <v>250</v>
      </c>
      <c r="R9" s="178">
        <f>TblExplore[[#This Row],[Hour]]</f>
        <v>6</v>
      </c>
      <c r="S9" s="229"/>
      <c r="T9" s="182"/>
      <c r="U9" s="182"/>
      <c r="V9" s="182"/>
      <c r="W9" s="182"/>
      <c r="X9" s="182"/>
      <c r="Y9" s="182"/>
      <c r="Z9" s="182"/>
      <c r="AA9" s="162">
        <f ca="1">TblImps[[#This Row],[Real time]]</f>
        <v>44871.208333333321</v>
      </c>
      <c r="AB9" s="97">
        <f ca="1">TblMili[[#This Row],[Draftees]]</f>
        <v>100</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25</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0.74724342663273957</v>
      </c>
      <c r="Q10" s="178">
        <f ca="1">TblExplore[[#This Row],[Land]]</f>
        <v>250</v>
      </c>
      <c r="R10" s="178">
        <f>TblExplore[[#This Row],[Hour]]</f>
        <v>7</v>
      </c>
      <c r="S10" s="229"/>
      <c r="T10" s="182"/>
      <c r="U10" s="182"/>
      <c r="V10" s="182"/>
      <c r="W10" s="182"/>
      <c r="X10" s="182"/>
      <c r="Y10" s="182"/>
      <c r="Z10" s="182"/>
      <c r="AA10" s="162">
        <f ca="1">TblImps[[#This Row],[Real time]]</f>
        <v>44871.249999999985</v>
      </c>
      <c r="AB10" s="97">
        <f ca="1">TblMili[[#This Row],[Draftees]]</f>
        <v>100</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25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0.75911789652247663</v>
      </c>
      <c r="Q11" s="178">
        <f ca="1">TblExplore[[#This Row],[Land]]</f>
        <v>250</v>
      </c>
      <c r="R11" s="178">
        <f>TblExplore[[#This Row],[Hour]]</f>
        <v>8</v>
      </c>
      <c r="S11" s="229"/>
      <c r="T11" s="182"/>
      <c r="U11" s="182"/>
      <c r="V11" s="182"/>
      <c r="W11" s="182"/>
      <c r="X11" s="182"/>
      <c r="Y11" s="182"/>
      <c r="Z11" s="182"/>
      <c r="AA11" s="162">
        <f ca="1">TblImps[[#This Row],[Real time]]</f>
        <v>44871.29166666665</v>
      </c>
      <c r="AB11" s="97">
        <f ca="1">TblMili[[#This Row],[Draftees]]</f>
        <v>100</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25</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0.77141645462256148</v>
      </c>
      <c r="Q12" s="178">
        <f ca="1">TblExplore[[#This Row],[Land]]</f>
        <v>250</v>
      </c>
      <c r="R12" s="178">
        <f>TblExplore[[#This Row],[Hour]]</f>
        <v>9</v>
      </c>
      <c r="S12" s="229"/>
      <c r="T12" s="182"/>
      <c r="U12" s="182"/>
      <c r="V12" s="182"/>
      <c r="W12" s="182"/>
      <c r="X12" s="182"/>
      <c r="Y12" s="182"/>
      <c r="Z12" s="182"/>
      <c r="AA12" s="162">
        <f ca="1">TblImps[[#This Row],[Real time]]</f>
        <v>44871.333333333314</v>
      </c>
      <c r="AB12" s="97">
        <f ca="1">TblMili[[#This Row],[Draftees]]</f>
        <v>100</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25</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0.7841391009329941</v>
      </c>
      <c r="Q13" s="178">
        <f ca="1">TblExplore[[#This Row],[Land]]</f>
        <v>250</v>
      </c>
      <c r="R13" s="178">
        <f>TblExplore[[#This Row],[Hour]]</f>
        <v>10</v>
      </c>
      <c r="S13" s="229"/>
      <c r="T13" s="182"/>
      <c r="U13" s="182"/>
      <c r="V13" s="182"/>
      <c r="W13" s="182"/>
      <c r="X13" s="182"/>
      <c r="Y13" s="182"/>
      <c r="Z13" s="182"/>
      <c r="AA13" s="162">
        <f ca="1">TblImps[[#This Row],[Real time]]</f>
        <v>44871.374999999978</v>
      </c>
      <c r="AB13" s="97">
        <f ca="1">TblMili[[#This Row],[Draftees]]</f>
        <v>100</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25</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0.79728583545377441</v>
      </c>
      <c r="Q14" s="178">
        <f ca="1">TblExplore[[#This Row],[Land]]</f>
        <v>250</v>
      </c>
      <c r="R14" s="178">
        <f>TblExplore[[#This Row],[Hour]]</f>
        <v>11</v>
      </c>
      <c r="S14" s="229"/>
      <c r="T14" s="182"/>
      <c r="U14" s="182"/>
      <c r="V14" s="182"/>
      <c r="W14" s="182"/>
      <c r="X14" s="182"/>
      <c r="Y14" s="182"/>
      <c r="Z14" s="182"/>
      <c r="AA14" s="162">
        <f ca="1">TblImps[[#This Row],[Real time]]</f>
        <v>44871.416666666642</v>
      </c>
      <c r="AB14" s="97">
        <f ca="1">TblMili[[#This Row],[Draftees]]</f>
        <v>100</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25</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0.81043256997455471</v>
      </c>
      <c r="Q15" s="178">
        <f ca="1">TblExplore[[#This Row],[Land]]</f>
        <v>250</v>
      </c>
      <c r="R15" s="178">
        <f>TblExplore[[#This Row],[Hour]]</f>
        <v>12</v>
      </c>
      <c r="S15" s="229"/>
      <c r="T15" s="161"/>
      <c r="U15" s="182"/>
      <c r="V15" s="182"/>
      <c r="W15" s="182"/>
      <c r="X15" s="182"/>
      <c r="Y15" s="182"/>
      <c r="Z15" s="182"/>
      <c r="AA15" s="162">
        <f ca="1">TblImps[[#This Row],[Real time]]</f>
        <v>44871.458333333307</v>
      </c>
      <c r="AB15" s="97">
        <f ca="1">TblMili[[#This Row],[Draftees]]</f>
        <v>100</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25</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387</v>
      </c>
      <c r="M16" s="231"/>
      <c r="N16" s="228">
        <f ca="1">TblMili[[#This Row],[Smithies]]</f>
        <v>0</v>
      </c>
      <c r="O16" s="228">
        <f ca="1">TblPop[[#This Row],[Employment]]</f>
        <v>0.9738283627510651</v>
      </c>
      <c r="P16" s="228">
        <f ca="1">TblImps[[#This Row],[Population]]</f>
        <v>0.82400339270568279</v>
      </c>
      <c r="Q16" s="178">
        <f ca="1">TblExplore[[#This Row],[Land]]</f>
        <v>250</v>
      </c>
      <c r="R16" s="178">
        <f>TblExplore[[#This Row],[Hour]]</f>
        <v>13</v>
      </c>
      <c r="S16" s="229"/>
      <c r="T16" s="182"/>
      <c r="U16" s="182"/>
      <c r="V16" s="182"/>
      <c r="W16" s="182"/>
      <c r="X16" s="182"/>
      <c r="Y16" s="182"/>
      <c r="Z16" s="182"/>
      <c r="AA16" s="162">
        <f ca="1">TblImps[[#This Row],[Real time]]</f>
        <v>44871.499999999971</v>
      </c>
      <c r="AB16" s="97">
        <f ca="1">TblMili[[#This Row],[Draftees]]</f>
        <v>100</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25</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374</v>
      </c>
      <c r="M17" s="233"/>
      <c r="N17" s="228">
        <f ca="1">TblMili[[#This Row],[Smithies]]</f>
        <v>0</v>
      </c>
      <c r="O17" s="228">
        <f ca="1">TblPop[[#This Row],[Employment]]</f>
        <v>0.95465393794749398</v>
      </c>
      <c r="P17" s="228">
        <f ca="1">TblImps[[#This Row],[Population]]</f>
        <v>0.83799830364715866</v>
      </c>
      <c r="Q17" s="178">
        <f ca="1">TblExplore[[#This Row],[Land]]</f>
        <v>250</v>
      </c>
      <c r="R17" s="178">
        <f>TblExplore[[#This Row],[Hour]]</f>
        <v>14</v>
      </c>
      <c r="S17" s="229"/>
      <c r="T17" s="182"/>
      <c r="U17" s="182"/>
      <c r="V17" s="182"/>
      <c r="W17" s="182"/>
      <c r="X17" s="182"/>
      <c r="Y17" s="182"/>
      <c r="Z17" s="182"/>
      <c r="AA17" s="162">
        <f ca="1">TblImps[[#This Row],[Real time]]</f>
        <v>44871.541666666635</v>
      </c>
      <c r="AB17" s="97">
        <f ca="1">TblMili[[#This Row],[Draftees]]</f>
        <v>100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25</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373</v>
      </c>
      <c r="M18" s="233"/>
      <c r="N18" s="228">
        <f ca="1">TblMili[[#This Row],[Smithies]]</f>
        <v>0</v>
      </c>
      <c r="O18" s="228">
        <f ca="1">TblPop[[#This Row],[Employment]]</f>
        <v>0.93622001170275015</v>
      </c>
      <c r="P18" s="228">
        <f ca="1">TblImps[[#This Row],[Population]]</f>
        <v>0.85199321458863442</v>
      </c>
      <c r="Q18" s="178">
        <f ca="1">TblExplore[[#This Row],[Land]]</f>
        <v>250</v>
      </c>
      <c r="R18" s="178">
        <f>TblExplore[[#This Row],[Hour]]</f>
        <v>15</v>
      </c>
      <c r="S18" s="229"/>
      <c r="T18" s="182"/>
      <c r="U18" s="182"/>
      <c r="V18" s="182"/>
      <c r="W18" s="182"/>
      <c r="X18" s="182"/>
      <c r="Y18" s="182"/>
      <c r="Z18" s="182"/>
      <c r="AA18" s="162">
        <f ca="1">TblImps[[#This Row],[Real time]]</f>
        <v>44871.583333333299</v>
      </c>
      <c r="AB18" s="97">
        <f ca="1">TblMili[[#This Row],[Draftees]]</f>
        <v>100</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25</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371</v>
      </c>
      <c r="M19" s="233"/>
      <c r="N19" s="228">
        <f ca="1">TblMili[[#This Row],[Smithies]]</f>
        <v>0</v>
      </c>
      <c r="O19" s="228">
        <f ca="1">TblPop[[#This Row],[Employment]]</f>
        <v>0.91795754446356859</v>
      </c>
      <c r="P19" s="228">
        <f ca="1">TblImps[[#This Row],[Population]]</f>
        <v>0.86641221374045807</v>
      </c>
      <c r="Q19" s="178">
        <f ca="1">TblExplore[[#This Row],[Land]]</f>
        <v>250</v>
      </c>
      <c r="R19" s="178">
        <f>TblExplore[[#This Row],[Hour]]</f>
        <v>16</v>
      </c>
      <c r="S19" s="229"/>
      <c r="T19" s="161"/>
      <c r="U19" s="182"/>
      <c r="V19" s="182"/>
      <c r="W19" s="182"/>
      <c r="X19" s="182"/>
      <c r="Y19" s="182"/>
      <c r="Z19" s="182"/>
      <c r="AA19" s="162">
        <f ca="1">TblImps[[#This Row],[Real time]]</f>
        <v>44871.624999999964</v>
      </c>
      <c r="AB19" s="97">
        <f ca="1">TblMili[[#This Row],[Draftees]]</f>
        <v>100</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25</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372</v>
      </c>
      <c r="M20" s="233"/>
      <c r="N20" s="228">
        <f ca="1">TblMili[[#This Row],[Smithies]]</f>
        <v>0</v>
      </c>
      <c r="O20" s="228">
        <f ca="1">TblPop[[#This Row],[Employment]]</f>
        <v>0.89988751406074241</v>
      </c>
      <c r="P20" s="228">
        <f ca="1">TblImps[[#This Row],[Population]]</f>
        <v>0.8812553011026294</v>
      </c>
      <c r="Q20" s="178">
        <f ca="1">TblExplore[[#This Row],[Land]]</f>
        <v>250</v>
      </c>
      <c r="R20" s="178">
        <f>TblExplore[[#This Row],[Hour]]</f>
        <v>17</v>
      </c>
      <c r="S20" s="229"/>
      <c r="T20" s="161"/>
      <c r="U20" s="182"/>
      <c r="V20" s="182"/>
      <c r="W20" s="182"/>
      <c r="X20" s="182"/>
      <c r="Y20" s="182"/>
      <c r="Z20" s="182"/>
      <c r="AA20" s="162">
        <f ca="1">TblImps[[#This Row],[Real time]]</f>
        <v>44871.666666666628</v>
      </c>
      <c r="AB20" s="97">
        <f ca="1">TblMili[[#This Row],[Draftees]]</f>
        <v>100</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25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0.88251516822945397</v>
      </c>
      <c r="P21" s="228">
        <f ca="1">TblImps[[#This Row],[Population]]</f>
        <v>0.89609838846480072</v>
      </c>
      <c r="Q21" s="178">
        <f ca="1">TblExplore[[#This Row],[Land]]</f>
        <v>250</v>
      </c>
      <c r="R21" s="178">
        <f>TblExplore[[#This Row],[Hour]]</f>
        <v>18</v>
      </c>
      <c r="S21" s="229"/>
      <c r="T21" s="182"/>
      <c r="U21" s="182"/>
      <c r="V21" s="182"/>
      <c r="W21" s="182"/>
      <c r="X21" s="182"/>
      <c r="Y21" s="182"/>
      <c r="Z21" s="182"/>
      <c r="AA21" s="162">
        <f ca="1">TblImps[[#This Row],[Real time]]</f>
        <v>44871.708333333292</v>
      </c>
      <c r="AB21" s="97">
        <f ca="1">TblMili[[#This Row],[Draftees]]</f>
        <v>100</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25</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0.86533261222282309</v>
      </c>
      <c r="P22" s="228">
        <f ca="1">TblImps[[#This Row],[Population]]</f>
        <v>0.91136556403731972</v>
      </c>
      <c r="Q22" s="178">
        <f ca="1">TblExplore[[#This Row],[Land]]</f>
        <v>250</v>
      </c>
      <c r="R22" s="178">
        <f>TblExplore[[#This Row],[Hour]]</f>
        <v>19</v>
      </c>
      <c r="S22" s="229"/>
      <c r="T22" s="182"/>
      <c r="U22" s="182"/>
      <c r="V22" s="182"/>
      <c r="W22" s="182"/>
      <c r="X22" s="182"/>
      <c r="Y22" s="182"/>
      <c r="Z22" s="182"/>
      <c r="AA22" s="162">
        <f ca="1">TblImps[[#This Row],[Real time]]</f>
        <v>44871.749999999956</v>
      </c>
      <c r="AB22" s="97">
        <f ca="1">TblMili[[#This Row],[Draftees]]</f>
        <v>100</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25</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0.84835630965005304</v>
      </c>
      <c r="P23" s="228">
        <f ca="1">TblImps[[#This Row],[Population]]</f>
        <v>0.92705682782018661</v>
      </c>
      <c r="Q23" s="178">
        <f ca="1">TblExplore[[#This Row],[Land]]</f>
        <v>250</v>
      </c>
      <c r="R23" s="178">
        <f>TblExplore[[#This Row],[Hour]]</f>
        <v>20</v>
      </c>
      <c r="S23" s="229"/>
      <c r="T23" s="182"/>
      <c r="U23" s="182"/>
      <c r="V23" s="182"/>
      <c r="W23" s="182"/>
      <c r="X23" s="182"/>
      <c r="Y23" s="182"/>
      <c r="Z23" s="182"/>
      <c r="AA23" s="162">
        <f ca="1">TblImps[[#This Row],[Real time]]</f>
        <v>44871.791666666621</v>
      </c>
      <c r="AB23" s="97">
        <f ca="1">TblMili[[#This Row],[Draftees]]</f>
        <v>100</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25</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0.8320332813312532</v>
      </c>
      <c r="P24" s="228">
        <f ca="1">TblImps[[#This Row],[Population]]</f>
        <v>0.9427480916030534</v>
      </c>
      <c r="Q24" s="178">
        <f ca="1">TblExplore[[#This Row],[Land]]</f>
        <v>250</v>
      </c>
      <c r="R24" s="225">
        <f>TblExplore[[#This Row],[Hour]]</f>
        <v>21</v>
      </c>
      <c r="S24" s="229"/>
      <c r="T24" s="182"/>
      <c r="U24" s="182"/>
      <c r="V24" s="182"/>
      <c r="W24" s="182"/>
      <c r="X24" s="182"/>
      <c r="Y24" s="182"/>
      <c r="Z24" s="182"/>
      <c r="AA24" s="162">
        <f ca="1">TblImps[[#This Row],[Real time]]</f>
        <v>44871.833333333285</v>
      </c>
      <c r="AB24" s="97">
        <f ca="1">TblMili[[#This Row],[Draftees]]</f>
        <v>100</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25</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388</v>
      </c>
      <c r="M25" s="235"/>
      <c r="N25" s="228">
        <f ca="1">TblMili[[#This Row],[Smithies]]</f>
        <v>0</v>
      </c>
      <c r="O25" s="228">
        <f ca="1">TblPop[[#This Row],[Employment]]</f>
        <v>0.81591024987251404</v>
      </c>
      <c r="P25" s="228">
        <f ca="1">TblImps[[#This Row],[Population]]</f>
        <v>0.95886344359626807</v>
      </c>
      <c r="Q25" s="178">
        <f ca="1">TblExplore[[#This Row],[Land]]</f>
        <v>250</v>
      </c>
      <c r="R25" s="225">
        <f>TblExplore[[#This Row],[Hour]]</f>
        <v>22</v>
      </c>
      <c r="S25" s="229"/>
      <c r="T25" s="182"/>
      <c r="U25" s="182"/>
      <c r="V25" s="182"/>
      <c r="W25" s="182"/>
      <c r="X25" s="182"/>
      <c r="Y25" s="182"/>
      <c r="Z25" s="182"/>
      <c r="AA25" s="162">
        <f ca="1">TblImps[[#This Row],[Real time]]</f>
        <v>44871.874999999949</v>
      </c>
      <c r="AB25" s="97">
        <f ca="1">TblMili[[#This Row],[Draftees]]</f>
        <v>100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25</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374</v>
      </c>
      <c r="M26" s="236">
        <f ca="1">Military!AP67</f>
        <v>452331</v>
      </c>
      <c r="N26" s="228">
        <f ca="1">TblMili[[#This Row],[Smithies]]</f>
        <v>0</v>
      </c>
      <c r="O26" s="228">
        <f ca="1">TblPop[[#This Row],[Employment]]</f>
        <v>0.80040020010004997</v>
      </c>
      <c r="P26" s="228">
        <f ca="1">TblImps[[#This Row],[Population]]</f>
        <v>0.97497879558948264</v>
      </c>
      <c r="Q26" s="178">
        <f ca="1">TblExplore[[#This Row],[Land]]</f>
        <v>250</v>
      </c>
      <c r="R26" s="178">
        <f>TblExplore[[#This Row],[Hour]]</f>
        <v>23</v>
      </c>
      <c r="S26" s="229"/>
      <c r="T26" s="182"/>
      <c r="U26" s="182"/>
      <c r="V26" s="182"/>
      <c r="W26" s="182"/>
      <c r="X26" s="182"/>
      <c r="Y26" s="182"/>
      <c r="Z26" s="182"/>
      <c r="AA26" s="162">
        <f ca="1">TblImps[[#This Row],[Real time]]</f>
        <v>44871.916666666613</v>
      </c>
      <c r="AB26" s="97">
        <f ca="1">TblMili[[#This Row],[Draftees]]</f>
        <v>100</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25</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373</v>
      </c>
      <c r="M27" s="236">
        <f ca="1">Production!S76</f>
        <v>5670</v>
      </c>
      <c r="N27" s="228">
        <f ca="1">TblMili[[#This Row],[Smithies]]</f>
        <v>0</v>
      </c>
      <c r="O27" s="228">
        <f ca="1">TblPop[[#This Row],[Employment]]</f>
        <v>0.78508341511285573</v>
      </c>
      <c r="P27" s="228">
        <f ca="1">TblImps[[#This Row],[Population]]</f>
        <v>0.99151823579304499</v>
      </c>
      <c r="Q27" s="178">
        <f ca="1">TblExplore[[#This Row],[Land]]</f>
        <v>250</v>
      </c>
      <c r="R27" s="178">
        <f>TblExplore[[#This Row],[Hour]]</f>
        <v>24</v>
      </c>
      <c r="S27" s="229"/>
      <c r="T27" s="161"/>
      <c r="U27" s="182"/>
      <c r="V27" s="182"/>
      <c r="W27" s="182"/>
      <c r="X27" s="182"/>
      <c r="Y27" s="182"/>
      <c r="Z27" s="182"/>
      <c r="AA27" s="162">
        <f ca="1">TblImps[[#This Row],[Real time]]</f>
        <v>44871.958333333278</v>
      </c>
      <c r="AB27" s="97">
        <f ca="1">TblMili[[#This Row],[Draftees]]</f>
        <v>100</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25</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371</v>
      </c>
      <c r="M28" s="236">
        <f ca="1">Military!AA64</f>
        <v>100</v>
      </c>
      <c r="N28" s="228">
        <f ca="1">TblMili[[#This Row],[Smithies]]</f>
        <v>0</v>
      </c>
      <c r="O28" s="228">
        <f ca="1">TblPop[[#This Row],[Employment]]</f>
        <v>0.78508341511285573</v>
      </c>
      <c r="P28" s="228">
        <f ca="1">TblImps[[#This Row],[Population]]</f>
        <v>0.99151823579304499</v>
      </c>
      <c r="Q28" s="178">
        <f ca="1">TblExplore[[#This Row],[Land]]</f>
        <v>250</v>
      </c>
      <c r="R28" s="178">
        <f>TblExplore[[#This Row],[Hour]]</f>
        <v>25</v>
      </c>
      <c r="S28" s="229"/>
      <c r="T28" s="182"/>
      <c r="U28" s="182"/>
      <c r="V28" s="182"/>
      <c r="W28" s="182"/>
      <c r="X28" s="182"/>
      <c r="Y28" s="182"/>
      <c r="Z28" s="182"/>
      <c r="AA28" s="162">
        <f ca="1">TblImps[[#This Row],[Real time]]</f>
        <v>44871.999999999942</v>
      </c>
      <c r="AB28" s="97">
        <f ca="1">TblMili[[#This Row],[Draftees]]</f>
        <v>100</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25</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372</v>
      </c>
      <c r="M29" s="237">
        <f ca="1">Q76</f>
        <v>250</v>
      </c>
      <c r="N29" s="228">
        <f ca="1">TblMili[[#This Row],[Smithies]]</f>
        <v>0</v>
      </c>
      <c r="O29" s="228">
        <f ca="1">TblPop[[#This Row],[Employment]]</f>
        <v>0.78508341511285573</v>
      </c>
      <c r="P29" s="228">
        <f ca="1">TblImps[[#This Row],[Population]]</f>
        <v>0.99151823579304499</v>
      </c>
      <c r="Q29" s="178">
        <f ca="1">TblExplore[[#This Row],[Land]]</f>
        <v>250</v>
      </c>
      <c r="R29" s="178">
        <f>TblExplore[[#This Row],[Hour]]</f>
        <v>26</v>
      </c>
      <c r="S29" s="229"/>
      <c r="T29" s="161"/>
      <c r="U29" s="182"/>
      <c r="V29" s="182"/>
      <c r="W29" s="182"/>
      <c r="X29" s="182"/>
      <c r="Y29" s="182"/>
      <c r="Z29" s="182"/>
      <c r="AA29" s="162">
        <f ca="1">TblImps[[#This Row],[Real time]]</f>
        <v>44872.041666666606</v>
      </c>
      <c r="AB29" s="97">
        <f ca="1">TblMili[[#This Row],[Draftees]]</f>
        <v>100</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25</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0.78508341511285573</v>
      </c>
      <c r="P30" s="228">
        <f ca="1">TblImps[[#This Row],[Population]]</f>
        <v>0.99151823579304499</v>
      </c>
      <c r="Q30" s="178">
        <f ca="1">TblExplore[[#This Row],[Land]]</f>
        <v>250</v>
      </c>
      <c r="R30" s="178">
        <f>TblExplore[[#This Row],[Hour]]</f>
        <v>27</v>
      </c>
      <c r="S30" s="229"/>
      <c r="T30" s="161"/>
      <c r="U30" s="182"/>
      <c r="V30" s="182"/>
      <c r="W30" s="182"/>
      <c r="X30" s="182"/>
      <c r="Y30" s="182"/>
      <c r="Z30" s="182"/>
      <c r="AA30" s="162">
        <f ca="1">TblImps[[#This Row],[Real time]]</f>
        <v>44872.08333333327</v>
      </c>
      <c r="AB30" s="97">
        <f ca="1">TblMili[[#This Row],[Draftees]]</f>
        <v>100</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25</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0.78508341511285573</v>
      </c>
      <c r="P31" s="228">
        <f ca="1">TblImps[[#This Row],[Population]]</f>
        <v>0.99151823579304499</v>
      </c>
      <c r="Q31" s="178">
        <f ca="1">TblExplore[[#This Row],[Land]]</f>
        <v>250</v>
      </c>
      <c r="R31" s="178">
        <f>TblExplore[[#This Row],[Hour]]</f>
        <v>28</v>
      </c>
      <c r="S31" s="229"/>
      <c r="T31" s="161"/>
      <c r="U31" s="182"/>
      <c r="V31" s="182"/>
      <c r="W31" s="182"/>
      <c r="X31" s="182"/>
      <c r="Y31" s="182"/>
      <c r="Z31" s="182"/>
      <c r="AA31" s="162">
        <f ca="1">TblImps[[#This Row],[Real time]]</f>
        <v>44872.124999999935</v>
      </c>
      <c r="AB31" s="97">
        <f ca="1">TblMili[[#This Row],[Draftees]]</f>
        <v>100</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25</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0.78508341511285573</v>
      </c>
      <c r="P32" s="228">
        <f ca="1">TblImps[[#This Row],[Population]]</f>
        <v>0.99151823579304499</v>
      </c>
      <c r="Q32" s="178">
        <f ca="1">TblExplore[[#This Row],[Land]]</f>
        <v>250</v>
      </c>
      <c r="R32" s="178">
        <f>TblExplore[[#This Row],[Hour]]</f>
        <v>29</v>
      </c>
      <c r="S32" s="229"/>
      <c r="T32" s="161"/>
      <c r="U32" s="182"/>
      <c r="V32" s="182"/>
      <c r="W32" s="182"/>
      <c r="X32" s="182"/>
      <c r="Y32" s="182"/>
      <c r="Z32" s="182"/>
      <c r="AA32" s="162">
        <f ca="1">TblImps[[#This Row],[Real time]]</f>
        <v>44872.166666666599</v>
      </c>
      <c r="AB32" s="97">
        <f ca="1">TblMili[[#This Row],[Draftees]]</f>
        <v>100</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25</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0.78508341511285573</v>
      </c>
      <c r="P33" s="228">
        <f ca="1">TblImps[[#This Row],[Population]]</f>
        <v>0.99151823579304499</v>
      </c>
      <c r="Q33" s="178">
        <f ca="1">TblExplore[[#This Row],[Land]]</f>
        <v>250</v>
      </c>
      <c r="R33" s="178">
        <f>TblExplore[[#This Row],[Hour]]</f>
        <v>30</v>
      </c>
      <c r="S33" s="229"/>
      <c r="T33" s="161"/>
      <c r="U33" s="182"/>
      <c r="V33" s="182"/>
      <c r="W33" s="182"/>
      <c r="X33" s="182"/>
      <c r="Y33" s="182"/>
      <c r="Z33" s="182"/>
      <c r="AA33" s="162">
        <f ca="1">TblImps[[#This Row],[Real time]]</f>
        <v>44872.208333333263</v>
      </c>
      <c r="AB33" s="97">
        <f ca="1">TblMili[[#This Row],[Draftees]]</f>
        <v>100</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25</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0.78508341511285573</v>
      </c>
      <c r="P34" s="228">
        <f ca="1">TblImps[[#This Row],[Population]]</f>
        <v>0.99151823579304499</v>
      </c>
      <c r="Q34" s="178">
        <f ca="1">TblExplore[[#This Row],[Land]]</f>
        <v>250</v>
      </c>
      <c r="R34" s="178">
        <f>TblExplore[[#This Row],[Hour]]</f>
        <v>31</v>
      </c>
      <c r="S34" s="229"/>
      <c r="T34" s="182"/>
      <c r="U34" s="182"/>
      <c r="V34" s="182"/>
      <c r="W34" s="182"/>
      <c r="X34" s="182"/>
      <c r="Y34" s="182"/>
      <c r="Z34" s="182"/>
      <c r="AA34" s="162">
        <f ca="1">TblImps[[#This Row],[Real time]]</f>
        <v>44872.249999999927</v>
      </c>
      <c r="AB34" s="97">
        <f ca="1">TblMili[[#This Row],[Draftees]]</f>
        <v>100</v>
      </c>
      <c r="AC34" s="97">
        <f ca="1">TblProd[[#This Row],[Platinum]]</f>
        <v>265221</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25</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0.78508341511285573</v>
      </c>
      <c r="P35" s="228">
        <f ca="1">TblImps[[#This Row],[Population]]</f>
        <v>0.99151823579304499</v>
      </c>
      <c r="Q35" s="178">
        <f ca="1">TblExplore[[#This Row],[Land]]</f>
        <v>250</v>
      </c>
      <c r="R35" s="178">
        <f>TblExplore[[#This Row],[Hour]]</f>
        <v>32</v>
      </c>
      <c r="S35" s="229"/>
      <c r="T35" s="182"/>
      <c r="U35" s="182"/>
      <c r="V35" s="182"/>
      <c r="W35" s="182"/>
      <c r="X35" s="182"/>
      <c r="Y35" s="182"/>
      <c r="Z35" s="182"/>
      <c r="AA35" s="162">
        <f ca="1">TblImps[[#This Row],[Real time]]</f>
        <v>44872.291666666591</v>
      </c>
      <c r="AB35" s="97">
        <f ca="1">TblMili[[#This Row],[Draftees]]</f>
        <v>100</v>
      </c>
      <c r="AC35" s="97">
        <f ca="1">TblProd[[#This Row],[Platinum]]</f>
        <v>270891</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25</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0.78508341511285573</v>
      </c>
      <c r="P36" s="228">
        <f ca="1">TblImps[[#This Row],[Population]]</f>
        <v>0.99151823579304499</v>
      </c>
      <c r="Q36" s="178">
        <f ca="1">TblExplore[[#This Row],[Land]]</f>
        <v>250</v>
      </c>
      <c r="R36" s="178">
        <f>TblExplore[[#This Row],[Hour]]</f>
        <v>33</v>
      </c>
      <c r="S36" s="229"/>
      <c r="T36" s="182"/>
      <c r="U36" s="182"/>
      <c r="V36" s="182"/>
      <c r="W36" s="182"/>
      <c r="X36" s="182"/>
      <c r="Y36" s="182"/>
      <c r="Z36" s="182"/>
      <c r="AA36" s="162">
        <f ca="1">TblImps[[#This Row],[Real time]]</f>
        <v>44872.333333333256</v>
      </c>
      <c r="AB36" s="97">
        <f ca="1">TblMili[[#This Row],[Draftees]]</f>
        <v>100</v>
      </c>
      <c r="AC36" s="97">
        <f ca="1">TblProd[[#This Row],[Platinum]]</f>
        <v>276561</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25</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0.78508341511285573</v>
      </c>
      <c r="P37" s="228">
        <f ca="1">TblImps[[#This Row],[Population]]</f>
        <v>0.99151823579304499</v>
      </c>
      <c r="Q37" s="178">
        <f ca="1">TblExplore[[#This Row],[Land]]</f>
        <v>250</v>
      </c>
      <c r="R37" s="178">
        <f>TblExplore[[#This Row],[Hour]]</f>
        <v>34</v>
      </c>
      <c r="S37" s="229"/>
      <c r="T37" s="182"/>
      <c r="U37" s="182"/>
      <c r="V37" s="182"/>
      <c r="W37" s="182"/>
      <c r="X37" s="182"/>
      <c r="Y37" s="182"/>
      <c r="Z37" s="182"/>
      <c r="AA37" s="162">
        <f ca="1">TblImps[[#This Row],[Real time]]</f>
        <v>44872.37499999992</v>
      </c>
      <c r="AB37" s="97">
        <f ca="1">TblMili[[#This Row],[Draftees]]</f>
        <v>100</v>
      </c>
      <c r="AC37" s="97">
        <f ca="1">TblProd[[#This Row],[Platinum]]</f>
        <v>282231</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25</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0.78508341511285573</v>
      </c>
      <c r="P38" s="228">
        <f ca="1">TblImps[[#This Row],[Population]]</f>
        <v>0.99151823579304499</v>
      </c>
      <c r="Q38" s="178">
        <f ca="1">TblExplore[[#This Row],[Land]]</f>
        <v>250</v>
      </c>
      <c r="R38" s="178">
        <f>TblExplore[[#This Row],[Hour]]</f>
        <v>35</v>
      </c>
      <c r="S38" s="229"/>
      <c r="T38" s="161"/>
      <c r="U38" s="182"/>
      <c r="V38" s="182"/>
      <c r="W38" s="182"/>
      <c r="X38" s="182"/>
      <c r="Y38" s="182"/>
      <c r="Z38" s="182"/>
      <c r="AA38" s="162">
        <f ca="1">TblImps[[#This Row],[Real time]]</f>
        <v>44872.416666666584</v>
      </c>
      <c r="AB38" s="97">
        <f ca="1">TblMili[[#This Row],[Draftees]]</f>
        <v>100</v>
      </c>
      <c r="AC38" s="97">
        <f ca="1">TblProd[[#This Row],[Platinum]]</f>
        <v>287901</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25</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0.78508341511285573</v>
      </c>
      <c r="P39" s="228">
        <f ca="1">TblImps[[#This Row],[Population]]</f>
        <v>0.99151823579304499</v>
      </c>
      <c r="Q39" s="178">
        <f ca="1">TblExplore[[#This Row],[Land]]</f>
        <v>250</v>
      </c>
      <c r="R39" s="178">
        <f>TblExplore[[#This Row],[Hour]]</f>
        <v>36</v>
      </c>
      <c r="S39" s="229"/>
      <c r="T39" s="182"/>
      <c r="U39" s="182"/>
      <c r="V39" s="182"/>
      <c r="W39" s="182"/>
      <c r="X39" s="182"/>
      <c r="Y39" s="182"/>
      <c r="Z39" s="182"/>
      <c r="AA39" s="162">
        <f ca="1">TblImps[[#This Row],[Real time]]</f>
        <v>44872.458333333248</v>
      </c>
      <c r="AB39" s="97">
        <f ca="1">TblMili[[#This Row],[Draftees]]</f>
        <v>100</v>
      </c>
      <c r="AC39" s="97">
        <f ca="1">TblProd[[#This Row],[Platinum]]</f>
        <v>293571</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25</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0.78508341511285573</v>
      </c>
      <c r="P40" s="228">
        <f ca="1">TblImps[[#This Row],[Population]]</f>
        <v>0.99151823579304499</v>
      </c>
      <c r="Q40" s="178">
        <f ca="1">TblExplore[[#This Row],[Land]]</f>
        <v>250</v>
      </c>
      <c r="R40" s="178">
        <f>TblExplore[[#This Row],[Hour]]</f>
        <v>37</v>
      </c>
      <c r="S40" s="229"/>
      <c r="T40" s="182"/>
      <c r="U40" s="182"/>
      <c r="V40" s="182"/>
      <c r="W40" s="182"/>
      <c r="X40" s="182"/>
      <c r="Y40" s="182"/>
      <c r="Z40" s="182"/>
      <c r="AA40" s="162">
        <f ca="1">TblImps[[#This Row],[Real time]]</f>
        <v>44872.499999999913</v>
      </c>
      <c r="AB40" s="97">
        <f ca="1">TblMili[[#This Row],[Draftees]]</f>
        <v>100</v>
      </c>
      <c r="AC40" s="97">
        <f ca="1">TblProd[[#This Row],[Platinum]]</f>
        <v>299241</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25</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0.78508341511285573</v>
      </c>
      <c r="P41" s="228">
        <f ca="1">TblImps[[#This Row],[Population]]</f>
        <v>0.99151823579304499</v>
      </c>
      <c r="Q41" s="178">
        <f ca="1">TblExplore[[#This Row],[Land]]</f>
        <v>250</v>
      </c>
      <c r="R41" s="178">
        <f>TblExplore[[#This Row],[Hour]]</f>
        <v>38</v>
      </c>
      <c r="S41" s="229"/>
      <c r="T41" s="182"/>
      <c r="U41" s="182"/>
      <c r="V41" s="182"/>
      <c r="W41" s="182"/>
      <c r="X41" s="182"/>
      <c r="Y41" s="182"/>
      <c r="Z41" s="182"/>
      <c r="AA41" s="162">
        <f ca="1">TblImps[[#This Row],[Real time]]</f>
        <v>44872.541666666577</v>
      </c>
      <c r="AB41" s="97">
        <f ca="1">TblMili[[#This Row],[Draftees]]</f>
        <v>100</v>
      </c>
      <c r="AC41" s="97">
        <f ca="1">TblProd[[#This Row],[Platinum]]</f>
        <v>304911</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25</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0.78508341511285573</v>
      </c>
      <c r="P42" s="228">
        <f ca="1">TblImps[[#This Row],[Population]]</f>
        <v>0.99151823579304499</v>
      </c>
      <c r="Q42" s="178">
        <f ca="1">TblExplore[[#This Row],[Land]]</f>
        <v>250</v>
      </c>
      <c r="R42" s="178">
        <f>TblExplore[[#This Row],[Hour]]</f>
        <v>39</v>
      </c>
      <c r="S42" s="229"/>
      <c r="T42" s="182"/>
      <c r="U42" s="182"/>
      <c r="V42" s="182"/>
      <c r="W42" s="182"/>
      <c r="X42" s="182"/>
      <c r="Y42" s="182"/>
      <c r="Z42" s="182"/>
      <c r="AA42" s="162">
        <f ca="1">TblImps[[#This Row],[Real time]]</f>
        <v>44872.583333333241</v>
      </c>
      <c r="AB42" s="97">
        <f ca="1">TblMili[[#This Row],[Draftees]]</f>
        <v>100</v>
      </c>
      <c r="AC42" s="97">
        <f ca="1">TblProd[[#This Row],[Platinum]]</f>
        <v>310581</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25</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0.78508341511285573</v>
      </c>
      <c r="P43" s="228">
        <f ca="1">TblImps[[#This Row],[Population]]</f>
        <v>0.99151823579304499</v>
      </c>
      <c r="Q43" s="178">
        <f ca="1">TblExplore[[#This Row],[Land]]</f>
        <v>250</v>
      </c>
      <c r="R43" s="178">
        <f>TblExplore[[#This Row],[Hour]]</f>
        <v>40</v>
      </c>
      <c r="S43" s="229"/>
      <c r="T43" s="182"/>
      <c r="U43" s="182"/>
      <c r="V43" s="182"/>
      <c r="W43" s="182"/>
      <c r="X43" s="182"/>
      <c r="Y43" s="182"/>
      <c r="Z43" s="182"/>
      <c r="AA43" s="162">
        <f ca="1">TblImps[[#This Row],[Real time]]</f>
        <v>44872.624999999905</v>
      </c>
      <c r="AB43" s="97">
        <f ca="1">TblMili[[#This Row],[Draftees]]</f>
        <v>100</v>
      </c>
      <c r="AC43" s="97">
        <f ca="1">TblProd[[#This Row],[Platinum]]</f>
        <v>316251</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25</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0.78508341511285573</v>
      </c>
      <c r="P44" s="228">
        <f ca="1">TblImps[[#This Row],[Population]]</f>
        <v>0.99151823579304499</v>
      </c>
      <c r="Q44" s="178">
        <f ca="1">TblExplore[[#This Row],[Land]]</f>
        <v>250</v>
      </c>
      <c r="R44" s="178">
        <f>TblExplore[[#This Row],[Hour]]</f>
        <v>41</v>
      </c>
      <c r="S44" s="229"/>
      <c r="T44" s="182"/>
      <c r="U44" s="182"/>
      <c r="V44" s="182"/>
      <c r="W44" s="182"/>
      <c r="X44" s="182"/>
      <c r="Y44" s="182"/>
      <c r="Z44" s="182"/>
      <c r="AA44" s="162">
        <f ca="1">TblImps[[#This Row],[Real time]]</f>
        <v>44872.66666666657</v>
      </c>
      <c r="AB44" s="97">
        <f ca="1">TblMili[[#This Row],[Draftees]]</f>
        <v>100</v>
      </c>
      <c r="AC44" s="97">
        <f ca="1">TblProd[[#This Row],[Platinum]]</f>
        <v>321921</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25</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0.78508341511285573</v>
      </c>
      <c r="P45" s="228">
        <f ca="1">TblImps[[#This Row],[Population]]</f>
        <v>0.99151823579304499</v>
      </c>
      <c r="Q45" s="178">
        <f ca="1">TblExplore[[#This Row],[Land]]</f>
        <v>250</v>
      </c>
      <c r="R45" s="178">
        <f>TblExplore[[#This Row],[Hour]]</f>
        <v>42</v>
      </c>
      <c r="S45" s="229"/>
      <c r="T45" s="182"/>
      <c r="U45" s="182"/>
      <c r="V45" s="182"/>
      <c r="W45" s="182"/>
      <c r="X45" s="182"/>
      <c r="Y45" s="182"/>
      <c r="Z45" s="182"/>
      <c r="AA45" s="162">
        <f ca="1">TblImps[[#This Row],[Real time]]</f>
        <v>44872.708333333234</v>
      </c>
      <c r="AB45" s="97">
        <f ca="1">TblMili[[#This Row],[Draftees]]</f>
        <v>100</v>
      </c>
      <c r="AC45" s="97">
        <f ca="1">TblProd[[#This Row],[Platinum]]</f>
        <v>327591</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25</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0.78508341511285573</v>
      </c>
      <c r="P46" s="228">
        <f ca="1">TblImps[[#This Row],[Population]]</f>
        <v>0.99151823579304499</v>
      </c>
      <c r="Q46" s="178">
        <f ca="1">TblExplore[[#This Row],[Land]]</f>
        <v>250</v>
      </c>
      <c r="R46" s="178">
        <f>TblExplore[[#This Row],[Hour]]</f>
        <v>43</v>
      </c>
      <c r="S46" s="229"/>
      <c r="T46" s="182"/>
      <c r="U46" s="182"/>
      <c r="V46" s="182"/>
      <c r="W46" s="182"/>
      <c r="X46" s="182"/>
      <c r="Y46" s="182"/>
      <c r="Z46" s="182"/>
      <c r="AA46" s="162">
        <f ca="1">TblImps[[#This Row],[Real time]]</f>
        <v>44872.749999999898</v>
      </c>
      <c r="AB46" s="97">
        <f ca="1">TblMili[[#This Row],[Draftees]]</f>
        <v>100</v>
      </c>
      <c r="AC46" s="97">
        <f ca="1">TblProd[[#This Row],[Platinum]]</f>
        <v>333261</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25</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0.78508341511285573</v>
      </c>
      <c r="P47" s="228">
        <f ca="1">TblImps[[#This Row],[Population]]</f>
        <v>0.99151823579304499</v>
      </c>
      <c r="Q47" s="178">
        <f ca="1">TblExplore[[#This Row],[Land]]</f>
        <v>250</v>
      </c>
      <c r="R47" s="178">
        <f>TblExplore[[#This Row],[Hour]]</f>
        <v>44</v>
      </c>
      <c r="S47" s="229"/>
      <c r="T47" s="182"/>
      <c r="U47" s="182"/>
      <c r="V47" s="182"/>
      <c r="W47" s="182"/>
      <c r="X47" s="182"/>
      <c r="Y47" s="182"/>
      <c r="Z47" s="182"/>
      <c r="AA47" s="162">
        <f ca="1">TblImps[[#This Row],[Real time]]</f>
        <v>44872.791666666562</v>
      </c>
      <c r="AB47" s="97">
        <f ca="1">TblMili[[#This Row],[Draftees]]</f>
        <v>100</v>
      </c>
      <c r="AC47" s="97">
        <f ca="1">TblProd[[#This Row],[Platinum]]</f>
        <v>338931</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25</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0.78508341511285573</v>
      </c>
      <c r="P48" s="228">
        <f ca="1">TblImps[[#This Row],[Population]]</f>
        <v>0.99151823579304499</v>
      </c>
      <c r="Q48" s="178">
        <f ca="1">TblExplore[[#This Row],[Land]]</f>
        <v>250</v>
      </c>
      <c r="R48" s="178">
        <f>TblExplore[[#This Row],[Hour]]</f>
        <v>45</v>
      </c>
      <c r="S48" s="229"/>
      <c r="T48" s="182"/>
      <c r="U48" s="182"/>
      <c r="V48" s="182"/>
      <c r="W48" s="182"/>
      <c r="X48" s="182"/>
      <c r="Y48" s="182"/>
      <c r="Z48" s="182"/>
      <c r="AA48" s="162">
        <f ca="1">TblImps[[#This Row],[Real time]]</f>
        <v>44872.833333333227</v>
      </c>
      <c r="AB48" s="97">
        <f ca="1">TblMili[[#This Row],[Draftees]]</f>
        <v>100</v>
      </c>
      <c r="AC48" s="97">
        <f ca="1">TblProd[[#This Row],[Platinum]]</f>
        <v>344601</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25</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0.78508341511285573</v>
      </c>
      <c r="P49" s="228">
        <f ca="1">TblImps[[#This Row],[Population]]</f>
        <v>0.99151823579304499</v>
      </c>
      <c r="Q49" s="178">
        <f ca="1">TblExplore[[#This Row],[Land]]</f>
        <v>250</v>
      </c>
      <c r="R49" s="178">
        <f>TblExplore[[#This Row],[Hour]]</f>
        <v>46</v>
      </c>
      <c r="S49" s="229"/>
      <c r="T49" s="182"/>
      <c r="U49" s="182"/>
      <c r="V49" s="182"/>
      <c r="W49" s="182"/>
      <c r="X49" s="182"/>
      <c r="Y49" s="182"/>
      <c r="Z49" s="182"/>
      <c r="AA49" s="162">
        <f ca="1">TblImps[[#This Row],[Real time]]</f>
        <v>44872.874999999891</v>
      </c>
      <c r="AB49" s="97">
        <f ca="1">TblMili[[#This Row],[Draftees]]</f>
        <v>100</v>
      </c>
      <c r="AC49" s="97">
        <f ca="1">TblProd[[#This Row],[Platinum]]</f>
        <v>350271</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25</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0.78508341511285573</v>
      </c>
      <c r="P50" s="228">
        <f ca="1">TblImps[[#This Row],[Population]]</f>
        <v>0.99151823579304499</v>
      </c>
      <c r="Q50" s="178">
        <f ca="1">TblExplore[[#This Row],[Land]]</f>
        <v>250</v>
      </c>
      <c r="R50" s="178">
        <f>TblExplore[[#This Row],[Hour]]</f>
        <v>47</v>
      </c>
      <c r="S50" s="229"/>
      <c r="T50" s="182"/>
      <c r="U50" s="182"/>
      <c r="V50" s="182"/>
      <c r="W50" s="182"/>
      <c r="X50" s="182"/>
      <c r="Y50" s="182"/>
      <c r="Z50" s="182"/>
      <c r="AA50" s="162">
        <f ca="1">TblImps[[#This Row],[Real time]]</f>
        <v>44872.916666666555</v>
      </c>
      <c r="AB50" s="97">
        <f ca="1">TblMili[[#This Row],[Draftees]]</f>
        <v>100</v>
      </c>
      <c r="AC50" s="97">
        <f ca="1">TblProd[[#This Row],[Platinum]]</f>
        <v>355941</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25</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0.78508341511285573</v>
      </c>
      <c r="P51" s="228">
        <f ca="1">TblImps[[#This Row],[Population]]</f>
        <v>0.99151823579304499</v>
      </c>
      <c r="Q51" s="178">
        <f ca="1">TblExplore[[#This Row],[Land]]</f>
        <v>250</v>
      </c>
      <c r="R51" s="178">
        <f>TblExplore[[#This Row],[Hour]]</f>
        <v>48</v>
      </c>
      <c r="S51" s="229"/>
      <c r="T51" s="182"/>
      <c r="U51" s="182"/>
      <c r="V51" s="182"/>
      <c r="W51" s="182"/>
      <c r="X51" s="182"/>
      <c r="Y51" s="182"/>
      <c r="Z51" s="182"/>
      <c r="AA51" s="162">
        <f ca="1">TblImps[[#This Row],[Real time]]</f>
        <v>44872.958333333219</v>
      </c>
      <c r="AB51" s="97">
        <f ca="1">TblMili[[#This Row],[Draftees]]</f>
        <v>100</v>
      </c>
      <c r="AC51" s="97">
        <f ca="1">TblProd[[#This Row],[Platinum]]</f>
        <v>361611</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25</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0.78508341511285573</v>
      </c>
      <c r="P52" s="228">
        <f ca="1">TblImps[[#This Row],[Population]]</f>
        <v>0.99151823579304499</v>
      </c>
      <c r="Q52" s="178">
        <f ca="1">TblExplore[[#This Row],[Land]]</f>
        <v>250</v>
      </c>
      <c r="R52" s="178">
        <f>TblExplore[[#This Row],[Hour]]</f>
        <v>49</v>
      </c>
      <c r="S52" s="229"/>
      <c r="T52" s="182"/>
      <c r="U52" s="182"/>
      <c r="V52" s="182"/>
      <c r="W52" s="182"/>
      <c r="X52" s="182"/>
      <c r="Y52" s="182"/>
      <c r="Z52" s="182"/>
      <c r="AA52" s="162">
        <f ca="1">TblImps[[#This Row],[Real time]]</f>
        <v>44872.999999999884</v>
      </c>
      <c r="AB52" s="97">
        <f ca="1">TblMili[[#This Row],[Draftees]]</f>
        <v>100</v>
      </c>
      <c r="AC52" s="97">
        <f ca="1">TblProd[[#This Row],[Platinum]]</f>
        <v>367281</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25</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0.78508341511285573</v>
      </c>
      <c r="P53" s="228">
        <f ca="1">TblImps[[#This Row],[Population]]</f>
        <v>0.99151823579304499</v>
      </c>
      <c r="Q53" s="178">
        <f ca="1">TblExplore[[#This Row],[Land]]</f>
        <v>250</v>
      </c>
      <c r="R53" s="178">
        <f>TblExplore[[#This Row],[Hour]]</f>
        <v>50</v>
      </c>
      <c r="S53" s="229"/>
      <c r="T53" s="182"/>
      <c r="U53" s="182"/>
      <c r="V53" s="182"/>
      <c r="W53" s="182"/>
      <c r="X53" s="182"/>
      <c r="Y53" s="182"/>
      <c r="Z53" s="182"/>
      <c r="AA53" s="162">
        <f ca="1">TblImps[[#This Row],[Real time]]</f>
        <v>44873.041666666548</v>
      </c>
      <c r="AB53" s="97">
        <f ca="1">TblMili[[#This Row],[Draftees]]</f>
        <v>100</v>
      </c>
      <c r="AC53" s="97">
        <f ca="1">TblProd[[#This Row],[Platinum]]</f>
        <v>372951</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25</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1066</v>
      </c>
      <c r="M54" s="398" t="s">
        <v>308</v>
      </c>
      <c r="N54" s="228">
        <f ca="1">TblMili[[#This Row],[Smithies]]</f>
        <v>0</v>
      </c>
      <c r="O54" s="228">
        <f ca="1">TblPop[[#This Row],[Employment]]</f>
        <v>0.78508341511285573</v>
      </c>
      <c r="P54" s="228">
        <f ca="1">TblImps[[#This Row],[Population]]</f>
        <v>0.99151823579304499</v>
      </c>
      <c r="Q54" s="178">
        <f ca="1">TblExplore[[#This Row],[Land]]</f>
        <v>250</v>
      </c>
      <c r="R54" s="178">
        <f>TblExplore[[#This Row],[Hour]]</f>
        <v>51</v>
      </c>
      <c r="S54" s="229"/>
      <c r="T54" s="182"/>
      <c r="U54" s="182"/>
      <c r="V54" s="182"/>
      <c r="W54" s="182"/>
      <c r="X54" s="182"/>
      <c r="Y54" s="182"/>
      <c r="Z54" s="182"/>
      <c r="AA54" s="162">
        <f ca="1">TblImps[[#This Row],[Real time]]</f>
        <v>44873.083333333212</v>
      </c>
      <c r="AB54" s="97">
        <f ca="1">TblMili[[#This Row],[Draftees]]</f>
        <v>100</v>
      </c>
      <c r="AC54" s="97">
        <f ca="1">TblProd[[#This Row],[Platinum]]</f>
        <v>378621</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25</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0.78508341511285573</v>
      </c>
      <c r="P55" s="228">
        <f ca="1">TblImps[[#This Row],[Population]]</f>
        <v>0.99151823579304499</v>
      </c>
      <c r="Q55" s="178">
        <f ca="1">TblExplore[[#This Row],[Land]]</f>
        <v>250</v>
      </c>
      <c r="R55" s="178">
        <f>TblExplore[[#This Row],[Hour]]</f>
        <v>52</v>
      </c>
      <c r="S55" s="229"/>
      <c r="T55" s="182"/>
      <c r="U55" s="182"/>
      <c r="V55" s="182"/>
      <c r="W55" s="182"/>
      <c r="X55" s="182"/>
      <c r="Y55" s="182"/>
      <c r="Z55" s="182"/>
      <c r="AA55" s="162">
        <f ca="1">TblImps[[#This Row],[Real time]]</f>
        <v>44873.124999999876</v>
      </c>
      <c r="AB55" s="97">
        <f ca="1">TblMili[[#This Row],[Draftees]]</f>
        <v>100</v>
      </c>
      <c r="AC55" s="97">
        <f ca="1">TblProd[[#This Row],[Platinum]]</f>
        <v>384291</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25</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0.78508341511285573</v>
      </c>
      <c r="P56" s="228">
        <f ca="1">TblImps[[#This Row],[Population]]</f>
        <v>0.99151823579304499</v>
      </c>
      <c r="Q56" s="178">
        <f ca="1">TblExplore[[#This Row],[Land]]</f>
        <v>250</v>
      </c>
      <c r="R56" s="178">
        <f>TblExplore[[#This Row],[Hour]]</f>
        <v>53</v>
      </c>
      <c r="S56" s="229"/>
      <c r="T56" s="182"/>
      <c r="U56" s="182"/>
      <c r="V56" s="182"/>
      <c r="W56" s="182"/>
      <c r="X56" s="182"/>
      <c r="Y56" s="182"/>
      <c r="Z56" s="182"/>
      <c r="AA56" s="162">
        <f ca="1">TblImps[[#This Row],[Real time]]</f>
        <v>44873.166666666541</v>
      </c>
      <c r="AB56" s="97">
        <f ca="1">TblMili[[#This Row],[Draftees]]</f>
        <v>100</v>
      </c>
      <c r="AC56" s="97">
        <f ca="1">TblProd[[#This Row],[Platinum]]</f>
        <v>389961</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25</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0.78508341511285573</v>
      </c>
      <c r="P57" s="228">
        <f ca="1">TblImps[[#This Row],[Population]]</f>
        <v>0.99151823579304499</v>
      </c>
      <c r="Q57" s="178">
        <f ca="1">TblExplore[[#This Row],[Land]]</f>
        <v>250</v>
      </c>
      <c r="R57" s="178">
        <f>TblExplore[[#This Row],[Hour]]</f>
        <v>54</v>
      </c>
      <c r="S57" s="229"/>
      <c r="T57" s="182"/>
      <c r="U57" s="182"/>
      <c r="V57" s="182"/>
      <c r="W57" s="182"/>
      <c r="X57" s="182"/>
      <c r="Y57" s="182"/>
      <c r="Z57" s="182"/>
      <c r="AA57" s="162">
        <f ca="1">TblImps[[#This Row],[Real time]]</f>
        <v>44873.208333333205</v>
      </c>
      <c r="AB57" s="97">
        <f ca="1">TblMili[[#This Row],[Draftees]]</f>
        <v>100</v>
      </c>
      <c r="AC57" s="97">
        <f ca="1">TblProd[[#This Row],[Platinum]]</f>
        <v>395631</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25</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0.78508341511285573</v>
      </c>
      <c r="P58" s="228">
        <f ca="1">TblImps[[#This Row],[Population]]</f>
        <v>0.99151823579304499</v>
      </c>
      <c r="Q58" s="178">
        <f ca="1">TblExplore[[#This Row],[Land]]</f>
        <v>250</v>
      </c>
      <c r="R58" s="178">
        <f>TblExplore[[#This Row],[Hour]]</f>
        <v>55</v>
      </c>
      <c r="S58" s="229"/>
      <c r="T58" s="182"/>
      <c r="U58" s="182"/>
      <c r="V58" s="182"/>
      <c r="W58" s="182"/>
      <c r="X58" s="182"/>
      <c r="Y58" s="182"/>
      <c r="Z58" s="182"/>
      <c r="AA58" s="162">
        <f ca="1">TblImps[[#This Row],[Real time]]</f>
        <v>44873.249999999869</v>
      </c>
      <c r="AB58" s="97">
        <f ca="1">TblMili[[#This Row],[Draftees]]</f>
        <v>100</v>
      </c>
      <c r="AC58" s="97">
        <f ca="1">TblProd[[#This Row],[Platinum]]</f>
        <v>401301</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25</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0.78508341511285573</v>
      </c>
      <c r="P59" s="228">
        <f ca="1">TblImps[[#This Row],[Population]]</f>
        <v>0.99151823579304499</v>
      </c>
      <c r="Q59" s="178">
        <f ca="1">TblExplore[[#This Row],[Land]]</f>
        <v>250</v>
      </c>
      <c r="R59" s="178">
        <f>TblExplore[[#This Row],[Hour]]</f>
        <v>56</v>
      </c>
      <c r="S59" s="229"/>
      <c r="T59" s="182"/>
      <c r="U59" s="182"/>
      <c r="V59" s="182"/>
      <c r="W59" s="182"/>
      <c r="X59" s="182"/>
      <c r="Y59" s="182"/>
      <c r="Z59" s="182"/>
      <c r="AA59" s="162">
        <f ca="1">TblImps[[#This Row],[Real time]]</f>
        <v>44873.291666666533</v>
      </c>
      <c r="AB59" s="97">
        <f ca="1">TblMili[[#This Row],[Draftees]]</f>
        <v>100</v>
      </c>
      <c r="AC59" s="97">
        <f ca="1">TblProd[[#This Row],[Platinum]]</f>
        <v>406971</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25</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0.78508341511285573</v>
      </c>
      <c r="P60" s="228">
        <f ca="1">TblImps[[#This Row],[Population]]</f>
        <v>0.99151823579304499</v>
      </c>
      <c r="Q60" s="178">
        <f ca="1">TblExplore[[#This Row],[Land]]</f>
        <v>250</v>
      </c>
      <c r="R60" s="178">
        <f>TblExplore[[#This Row],[Hour]]</f>
        <v>57</v>
      </c>
      <c r="S60" s="229"/>
      <c r="T60" s="182"/>
      <c r="U60" s="182"/>
      <c r="V60" s="182"/>
      <c r="W60" s="182"/>
      <c r="X60" s="182"/>
      <c r="Y60" s="182"/>
      <c r="Z60" s="182"/>
      <c r="AA60" s="162">
        <f ca="1">TblImps[[#This Row],[Real time]]</f>
        <v>44873.333333333198</v>
      </c>
      <c r="AB60" s="97">
        <f ca="1">TblMili[[#This Row],[Draftees]]</f>
        <v>100</v>
      </c>
      <c r="AC60" s="97">
        <f ca="1">TblProd[[#This Row],[Platinum]]</f>
        <v>412641</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25</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0.78508341511285573</v>
      </c>
      <c r="P61" s="228">
        <f ca="1">TblImps[[#This Row],[Population]]</f>
        <v>0.99151823579304499</v>
      </c>
      <c r="Q61" s="178">
        <f ca="1">TblExplore[[#This Row],[Land]]</f>
        <v>250</v>
      </c>
      <c r="R61" s="178">
        <f>TblExplore[[#This Row],[Hour]]</f>
        <v>58</v>
      </c>
      <c r="S61" s="229"/>
      <c r="T61" s="182"/>
      <c r="U61" s="182"/>
      <c r="V61" s="182"/>
      <c r="W61" s="182"/>
      <c r="X61" s="182"/>
      <c r="Y61" s="182"/>
      <c r="Z61" s="182"/>
      <c r="AA61" s="162">
        <f ca="1">TblImps[[#This Row],[Real time]]</f>
        <v>44873.374999999862</v>
      </c>
      <c r="AB61" s="97">
        <f ca="1">TblMili[[#This Row],[Draftees]]</f>
        <v>100</v>
      </c>
      <c r="AC61" s="97">
        <f ca="1">TblProd[[#This Row],[Platinum]]</f>
        <v>418311</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25</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0.78508341511285573</v>
      </c>
      <c r="P62" s="228">
        <f ca="1">TblImps[[#This Row],[Population]]</f>
        <v>0.99151823579304499</v>
      </c>
      <c r="Q62" s="178">
        <f ca="1">TblExplore[[#This Row],[Land]]</f>
        <v>250</v>
      </c>
      <c r="R62" s="178">
        <f>TblExplore[[#This Row],[Hour]]</f>
        <v>59</v>
      </c>
      <c r="S62" s="229"/>
      <c r="T62" s="182"/>
      <c r="U62" s="182"/>
      <c r="V62" s="182"/>
      <c r="W62" s="182"/>
      <c r="X62" s="182"/>
      <c r="Y62" s="182"/>
      <c r="Z62" s="182"/>
      <c r="AA62" s="162">
        <f ca="1">TblImps[[#This Row],[Real time]]</f>
        <v>44873.416666666526</v>
      </c>
      <c r="AB62" s="97">
        <f ca="1">TblMili[[#This Row],[Draftees]]</f>
        <v>100</v>
      </c>
      <c r="AC62" s="97">
        <f ca="1">TblProd[[#This Row],[Platinum]]</f>
        <v>423981</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25</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0.78508341511285573</v>
      </c>
      <c r="P63" s="228">
        <f ca="1">TblImps[[#This Row],[Population]]</f>
        <v>0.99151823579304499</v>
      </c>
      <c r="Q63" s="178">
        <f ca="1">TblExplore[[#This Row],[Land]]</f>
        <v>250</v>
      </c>
      <c r="R63" s="178">
        <f>TblExplore[[#This Row],[Hour]]</f>
        <v>60</v>
      </c>
      <c r="S63" s="229"/>
      <c r="T63" s="182"/>
      <c r="U63" s="182"/>
      <c r="V63" s="182"/>
      <c r="W63" s="182"/>
      <c r="X63" s="182"/>
      <c r="Y63" s="182"/>
      <c r="Z63" s="182"/>
      <c r="AA63" s="162">
        <f ca="1">TblImps[[#This Row],[Real time]]</f>
        <v>44873.45833333319</v>
      </c>
      <c r="AB63" s="97">
        <f ca="1">TblMili[[#This Row],[Draftees]]</f>
        <v>100</v>
      </c>
      <c r="AC63" s="97">
        <f ca="1">TblProd[[#This Row],[Platinum]]</f>
        <v>429651</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25</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0.78508341511285573</v>
      </c>
      <c r="P64" s="228">
        <f ca="1">TblImps[[#This Row],[Population]]</f>
        <v>0.99151823579304499</v>
      </c>
      <c r="Q64" s="178">
        <f ca="1">TblExplore[[#This Row],[Land]]</f>
        <v>250</v>
      </c>
      <c r="R64" s="178">
        <f>TblExplore[[#This Row],[Hour]]</f>
        <v>61</v>
      </c>
      <c r="S64" s="229"/>
      <c r="T64" s="182"/>
      <c r="U64" s="182"/>
      <c r="V64" s="182"/>
      <c r="W64" s="182"/>
      <c r="X64" s="182"/>
      <c r="Y64" s="182"/>
      <c r="Z64" s="182"/>
      <c r="AA64" s="162">
        <f ca="1">TblImps[[#This Row],[Real time]]</f>
        <v>44873.499999999854</v>
      </c>
      <c r="AB64" s="97">
        <f ca="1">TblMili[[#This Row],[Draftees]]</f>
        <v>100</v>
      </c>
      <c r="AC64" s="97">
        <f ca="1">TblProd[[#This Row],[Platinum]]</f>
        <v>435321</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25</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0.78508341511285573</v>
      </c>
      <c r="P65" s="228">
        <f ca="1">TblImps[[#This Row],[Population]]</f>
        <v>0.99151823579304499</v>
      </c>
      <c r="Q65" s="178">
        <f ca="1">TblExplore[[#This Row],[Land]]</f>
        <v>250</v>
      </c>
      <c r="R65" s="178">
        <f>TblExplore[[#This Row],[Hour]]</f>
        <v>62</v>
      </c>
      <c r="S65" s="229"/>
      <c r="T65" s="182"/>
      <c r="U65" s="182"/>
      <c r="V65" s="182"/>
      <c r="W65" s="182"/>
      <c r="X65" s="182"/>
      <c r="Y65" s="182"/>
      <c r="Z65" s="182"/>
      <c r="AA65" s="162">
        <f ca="1">TblImps[[#This Row],[Real time]]</f>
        <v>44873.541666666519</v>
      </c>
      <c r="AB65" s="97">
        <f ca="1">TblMili[[#This Row],[Draftees]]</f>
        <v>100</v>
      </c>
      <c r="AC65" s="97">
        <f ca="1">TblProd[[#This Row],[Platinum]]</f>
        <v>440991</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25</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0.78508341511285573</v>
      </c>
      <c r="P66" s="228">
        <f ca="1">TblImps[[#This Row],[Population]]</f>
        <v>0.99151823579304499</v>
      </c>
      <c r="Q66" s="178">
        <f ca="1">TblExplore[[#This Row],[Land]]</f>
        <v>250</v>
      </c>
      <c r="R66" s="178">
        <f>TblExplore[[#This Row],[Hour]]</f>
        <v>63</v>
      </c>
      <c r="S66" s="229"/>
      <c r="T66" s="182"/>
      <c r="U66" s="182"/>
      <c r="V66" s="182"/>
      <c r="W66" s="182"/>
      <c r="X66" s="182"/>
      <c r="Y66" s="182"/>
      <c r="Z66" s="182"/>
      <c r="AA66" s="162">
        <f ca="1">TblImps[[#This Row],[Real time]]</f>
        <v>44873.583333333183</v>
      </c>
      <c r="AB66" s="97">
        <f ca="1">TblMili[[#This Row],[Draftees]]</f>
        <v>100</v>
      </c>
      <c r="AC66" s="97">
        <f ca="1">TblProd[[#This Row],[Platinum]]</f>
        <v>446661</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25</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0.78508341511285573</v>
      </c>
      <c r="P67" s="228">
        <f ca="1">TblImps[[#This Row],[Population]]</f>
        <v>0.99151823579304499</v>
      </c>
      <c r="Q67" s="178">
        <f ca="1">TblExplore[[#This Row],[Land]]</f>
        <v>250</v>
      </c>
      <c r="R67" s="178">
        <f>TblExplore[[#This Row],[Hour]]</f>
        <v>64</v>
      </c>
      <c r="S67" s="229"/>
      <c r="T67" s="182"/>
      <c r="U67" s="182"/>
      <c r="V67" s="182"/>
      <c r="W67" s="182"/>
      <c r="X67" s="182"/>
      <c r="Y67" s="182"/>
      <c r="Z67" s="182"/>
      <c r="AA67" s="162">
        <f ca="1">TblImps[[#This Row],[Real time]]</f>
        <v>44873.624999999847</v>
      </c>
      <c r="AB67" s="97">
        <f ca="1">TblMili[[#This Row],[Draftees]]</f>
        <v>100</v>
      </c>
      <c r="AC67" s="97">
        <f ca="1">TblProd[[#This Row],[Platinum]]</f>
        <v>452331</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25</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0.78508341511285573</v>
      </c>
      <c r="P68" s="228">
        <f ca="1">TblImps[[#This Row],[Population]]</f>
        <v>0.99151823579304499</v>
      </c>
      <c r="Q68" s="178">
        <f ca="1">TblExplore[[#This Row],[Land]]</f>
        <v>250</v>
      </c>
      <c r="R68" s="178">
        <f>TblExplore[[#This Row],[Hour]]</f>
        <v>65</v>
      </c>
      <c r="S68" s="229"/>
      <c r="T68" s="182"/>
      <c r="U68" s="182"/>
      <c r="V68" s="182"/>
      <c r="W68" s="182"/>
      <c r="X68" s="182"/>
      <c r="Y68" s="182"/>
      <c r="Z68" s="182"/>
      <c r="AA68" s="162">
        <f ca="1">TblImps[[#This Row],[Real time]]</f>
        <v>44873.666666666511</v>
      </c>
      <c r="AB68" s="97">
        <f ca="1">TblMili[[#This Row],[Draftees]]</f>
        <v>100</v>
      </c>
      <c r="AC68" s="97">
        <f ca="1">TblProd[[#This Row],[Platinum]]</f>
        <v>458001</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25</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0.78508341511285573</v>
      </c>
      <c r="P69" s="228">
        <f ca="1">TblImps[[#This Row],[Population]]</f>
        <v>0.99151823579304499</v>
      </c>
      <c r="Q69" s="178">
        <f ca="1">TblExplore[[#This Row],[Land]]</f>
        <v>250</v>
      </c>
      <c r="R69" s="178">
        <f>TblExplore[[#This Row],[Hour]]</f>
        <v>66</v>
      </c>
      <c r="S69" s="229"/>
      <c r="T69" s="182"/>
      <c r="U69" s="182"/>
      <c r="V69" s="182"/>
      <c r="W69" s="182"/>
      <c r="X69" s="182"/>
      <c r="Y69" s="182"/>
      <c r="Z69" s="182"/>
      <c r="AA69" s="162">
        <f ca="1">TblImps[[#This Row],[Real time]]</f>
        <v>44873.708333333176</v>
      </c>
      <c r="AB69" s="97">
        <f ca="1">TblMili[[#This Row],[Draftees]]</f>
        <v>100</v>
      </c>
      <c r="AC69" s="97">
        <f ca="1">TblProd[[#This Row],[Platinum]]</f>
        <v>463671</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25</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0.78508341511285573</v>
      </c>
      <c r="P70" s="228">
        <f ca="1">TblImps[[#This Row],[Population]]</f>
        <v>0.99151823579304499</v>
      </c>
      <c r="Q70" s="178">
        <f ca="1">TblExplore[[#This Row],[Land]]</f>
        <v>250</v>
      </c>
      <c r="R70" s="178">
        <f>TblExplore[[#This Row],[Hour]]</f>
        <v>67</v>
      </c>
      <c r="S70" s="229"/>
      <c r="T70" s="182"/>
      <c r="U70" s="182"/>
      <c r="V70" s="182"/>
      <c r="W70" s="182"/>
      <c r="X70" s="182"/>
      <c r="Y70" s="182"/>
      <c r="Z70" s="182"/>
      <c r="AA70" s="162">
        <f ca="1">TblImps[[#This Row],[Real time]]</f>
        <v>44873.74999999984</v>
      </c>
      <c r="AB70" s="97">
        <f ca="1">TblMili[[#This Row],[Draftees]]</f>
        <v>100</v>
      </c>
      <c r="AC70" s="97">
        <f ca="1">TblProd[[#This Row],[Platinum]]</f>
        <v>469341</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25</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0.78508341511285573</v>
      </c>
      <c r="P71" s="228">
        <f ca="1">TblImps[[#This Row],[Population]]</f>
        <v>0.99151823579304499</v>
      </c>
      <c r="Q71" s="178">
        <f ca="1">TblExplore[[#This Row],[Land]]</f>
        <v>250</v>
      </c>
      <c r="R71" s="178">
        <f>TblExplore[[#This Row],[Hour]]</f>
        <v>68</v>
      </c>
      <c r="S71" s="229"/>
      <c r="T71" s="182"/>
      <c r="U71" s="182"/>
      <c r="V71" s="182"/>
      <c r="W71" s="182"/>
      <c r="X71" s="182"/>
      <c r="Y71" s="182"/>
      <c r="Z71" s="182"/>
      <c r="AA71" s="162">
        <f ca="1">TblImps[[#This Row],[Real time]]</f>
        <v>44873.791666666504</v>
      </c>
      <c r="AB71" s="97">
        <f ca="1">TblMili[[#This Row],[Draftees]]</f>
        <v>100</v>
      </c>
      <c r="AC71" s="97">
        <f ca="1">TblProd[[#This Row],[Platinum]]</f>
        <v>475011</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25</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0.78508341511285573</v>
      </c>
      <c r="P72" s="228">
        <f ca="1">TblImps[[#This Row],[Population]]</f>
        <v>0.99151823579304499</v>
      </c>
      <c r="Q72" s="178">
        <f ca="1">TblExplore[[#This Row],[Land]]</f>
        <v>250</v>
      </c>
      <c r="R72" s="178">
        <f>TblExplore[[#This Row],[Hour]]</f>
        <v>69</v>
      </c>
      <c r="S72" s="229"/>
      <c r="T72" s="182"/>
      <c r="U72" s="182"/>
      <c r="V72" s="182"/>
      <c r="W72" s="182"/>
      <c r="X72" s="182"/>
      <c r="Y72" s="182"/>
      <c r="Z72" s="182"/>
      <c r="AA72" s="162">
        <f ca="1">TblImps[[#This Row],[Real time]]</f>
        <v>44873.833333333168</v>
      </c>
      <c r="AB72" s="97">
        <f ca="1">TblMili[[#This Row],[Draftees]]</f>
        <v>100</v>
      </c>
      <c r="AC72" s="97">
        <f ca="1">TblProd[[#This Row],[Platinum]]</f>
        <v>480681</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25</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0.78508341511285573</v>
      </c>
      <c r="P73" s="228">
        <f ca="1">TblImps[[#This Row],[Population]]</f>
        <v>0.99151823579304499</v>
      </c>
      <c r="Q73" s="178">
        <f ca="1">TblExplore[[#This Row],[Land]]</f>
        <v>250</v>
      </c>
      <c r="R73" s="178">
        <f>TblExplore[[#This Row],[Hour]]</f>
        <v>70</v>
      </c>
      <c r="S73" s="229"/>
      <c r="T73" s="182"/>
      <c r="U73" s="182"/>
      <c r="V73" s="182"/>
      <c r="W73" s="182"/>
      <c r="X73" s="182"/>
      <c r="Y73" s="182"/>
      <c r="Z73" s="182"/>
      <c r="AA73" s="162">
        <f ca="1">TblImps[[#This Row],[Real time]]</f>
        <v>44873.874999999833</v>
      </c>
      <c r="AB73" s="97">
        <f ca="1">TblMili[[#This Row],[Draftees]]</f>
        <v>100</v>
      </c>
      <c r="AC73" s="97">
        <f ca="1">TblProd[[#This Row],[Platinum]]</f>
        <v>486351</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25</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0.78508341511285573</v>
      </c>
      <c r="P74" s="228">
        <f ca="1">TblImps[[#This Row],[Population]]</f>
        <v>0.99151823579304499</v>
      </c>
      <c r="Q74" s="178">
        <f ca="1">TblExplore[[#This Row],[Land]]</f>
        <v>250</v>
      </c>
      <c r="R74" s="178">
        <f>TblExplore[[#This Row],[Hour]]</f>
        <v>71</v>
      </c>
      <c r="S74" s="229"/>
      <c r="T74" s="182"/>
      <c r="U74" s="182"/>
      <c r="V74" s="182"/>
      <c r="W74" s="182"/>
      <c r="X74" s="182"/>
      <c r="Y74" s="182"/>
      <c r="Z74" s="182"/>
      <c r="AA74" s="162">
        <f ca="1">TblImps[[#This Row],[Real time]]</f>
        <v>44873.916666666497</v>
      </c>
      <c r="AB74" s="97">
        <f ca="1">TblMili[[#This Row],[Draftees]]</f>
        <v>100</v>
      </c>
      <c r="AC74" s="97">
        <f ca="1">TblProd[[#This Row],[Platinum]]</f>
        <v>492021</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25</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0.78508341511285573</v>
      </c>
      <c r="P75" s="228">
        <f ca="1">TblImps[[#This Row],[Population]]</f>
        <v>0.99151823579304499</v>
      </c>
      <c r="Q75" s="178">
        <f ca="1">TblExplore[[#This Row],[Land]]</f>
        <v>250</v>
      </c>
      <c r="R75" s="178">
        <f>TblExplore[[#This Row],[Hour]]</f>
        <v>72</v>
      </c>
      <c r="S75" s="229"/>
      <c r="T75" s="182"/>
      <c r="U75" s="182"/>
      <c r="V75" s="182"/>
      <c r="W75" s="182"/>
      <c r="X75" s="182"/>
      <c r="Y75" s="182"/>
      <c r="Z75" s="182"/>
      <c r="AA75" s="162">
        <f ca="1">TblImps[[#This Row],[Real time]]</f>
        <v>44873.958333333161</v>
      </c>
      <c r="AB75" s="97">
        <f ca="1">TblMili[[#This Row],[Draftees]]</f>
        <v>100</v>
      </c>
      <c r="AC75" s="97">
        <f ca="1">TblProd[[#This Row],[Platinum]]</f>
        <v>497691</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25</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0.78508341511285573</v>
      </c>
      <c r="P76" s="245">
        <f ca="1">TblImps[[#This Row],[Population]]</f>
        <v>0.99151823579304499</v>
      </c>
      <c r="Q76" s="196">
        <f ca="1">TblExplore[[#This Row],[Land]]</f>
        <v>250</v>
      </c>
      <c r="R76" s="178">
        <f>TblExplore[[#This Row],[Hour]]</f>
        <v>73</v>
      </c>
      <c r="S76" s="246"/>
      <c r="T76" s="207"/>
      <c r="U76" s="207"/>
      <c r="V76" s="207"/>
      <c r="W76" s="207"/>
      <c r="X76" s="207"/>
      <c r="Y76" s="207"/>
      <c r="Z76" s="207"/>
      <c r="AA76" s="217">
        <f ca="1">TblImps[[#This Row],[Real time]]</f>
        <v>44873.999999999825</v>
      </c>
      <c r="AB76" s="210">
        <f ca="1">TblMili[[#This Row],[Draftees]]</f>
        <v>100</v>
      </c>
      <c r="AC76" s="210">
        <f ca="1">TblProd[[#This Row],[Platinum]]</f>
        <v>503361</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25</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0.78508341511285573</v>
      </c>
      <c r="P77" s="228">
        <f ca="1">TblImps[[#This Row],[Population]]</f>
        <v>0.99151823579304499</v>
      </c>
      <c r="Q77" s="178">
        <f ca="1">TblExplore[[#This Row],[Land]]</f>
        <v>250</v>
      </c>
      <c r="R77" s="178">
        <f>TblExplore[[#This Row],[Hour]]</f>
        <v>74</v>
      </c>
      <c r="S77" s="229"/>
      <c r="T77" s="182"/>
      <c r="U77" s="182"/>
      <c r="V77" s="182"/>
      <c r="W77" s="182"/>
      <c r="X77" s="182"/>
      <c r="Y77" s="182"/>
      <c r="Z77" s="182"/>
      <c r="AA77" s="162">
        <f ca="1">TblImps[[#This Row],[Real time]]</f>
        <v>44874.04166666649</v>
      </c>
      <c r="AB77" s="97">
        <f ca="1">TblMili[[#This Row],[Draftees]]</f>
        <v>100</v>
      </c>
      <c r="AC77" s="97">
        <f ca="1">TblProd[[#This Row],[Platinum]]</f>
        <v>509031</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25</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0.78508341511285573</v>
      </c>
      <c r="P78" s="228">
        <f ca="1">TblImps[[#This Row],[Population]]</f>
        <v>0.99151823579304499</v>
      </c>
      <c r="Q78" s="178">
        <f ca="1">TblExplore[[#This Row],[Land]]</f>
        <v>250</v>
      </c>
      <c r="R78" s="178">
        <f>TblExplore[[#This Row],[Hour]]</f>
        <v>75</v>
      </c>
      <c r="S78" s="229"/>
      <c r="T78" s="182"/>
      <c r="U78" s="182"/>
      <c r="V78" s="182"/>
      <c r="W78" s="182"/>
      <c r="X78" s="182"/>
      <c r="Y78" s="182"/>
      <c r="Z78" s="182"/>
      <c r="AA78" s="162">
        <f ca="1">TblImps[[#This Row],[Real time]]</f>
        <v>44874.083333333154</v>
      </c>
      <c r="AB78" s="97">
        <f ca="1">TblMili[[#This Row],[Draftees]]</f>
        <v>100</v>
      </c>
      <c r="AC78" s="97">
        <f ca="1">TblProd[[#This Row],[Platinum]]</f>
        <v>514701</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25</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0.78508341511285573</v>
      </c>
      <c r="P79" s="228">
        <f ca="1">TblImps[[#This Row],[Population]]</f>
        <v>0.99151823579304499</v>
      </c>
      <c r="Q79" s="178">
        <f ca="1">TblExplore[[#This Row],[Land]]</f>
        <v>250</v>
      </c>
      <c r="R79" s="178">
        <f>TblExplore[[#This Row],[Hour]]</f>
        <v>76</v>
      </c>
      <c r="S79" s="229"/>
      <c r="T79" s="161"/>
      <c r="U79" s="182"/>
      <c r="V79" s="182"/>
      <c r="W79" s="182"/>
      <c r="X79" s="182"/>
      <c r="Y79" s="182"/>
      <c r="Z79" s="182"/>
      <c r="AA79" s="162">
        <f ca="1">TblImps[[#This Row],[Real time]]</f>
        <v>44874.124999999818</v>
      </c>
      <c r="AB79" s="97">
        <f ca="1">TblMili[[#This Row],[Draftees]]</f>
        <v>100</v>
      </c>
      <c r="AC79" s="97">
        <f ca="1">TblProd[[#This Row],[Platinum]]</f>
        <v>520371</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25</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0.78508341511285573</v>
      </c>
      <c r="P80" s="228">
        <f ca="1">TblImps[[#This Row],[Population]]</f>
        <v>0.99151823579304499</v>
      </c>
      <c r="Q80" s="178">
        <f ca="1">TblExplore[[#This Row],[Land]]</f>
        <v>250</v>
      </c>
      <c r="R80" s="178">
        <f>TblExplore[[#This Row],[Hour]]</f>
        <v>77</v>
      </c>
      <c r="S80" s="229"/>
      <c r="T80" s="161"/>
      <c r="U80" s="182"/>
      <c r="V80" s="182"/>
      <c r="W80" s="182"/>
      <c r="X80" s="182"/>
      <c r="Y80" s="182"/>
      <c r="Z80" s="182"/>
      <c r="AA80" s="162">
        <f ca="1">TblImps[[#This Row],[Real time]]</f>
        <v>44874.166666666482</v>
      </c>
      <c r="AB80" s="97">
        <f ca="1">TblMili[[#This Row],[Draftees]]</f>
        <v>100</v>
      </c>
      <c r="AC80" s="97">
        <f ca="1">TblProd[[#This Row],[Platinum]]</f>
        <v>526041</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25</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0.78508341511285573</v>
      </c>
      <c r="P81" s="228">
        <f ca="1">TblImps[[#This Row],[Population]]</f>
        <v>0.99151823579304499</v>
      </c>
      <c r="Q81" s="178">
        <f ca="1">TblExplore[[#This Row],[Land]]</f>
        <v>250</v>
      </c>
      <c r="R81" s="178">
        <f>TblExplore[[#This Row],[Hour]]</f>
        <v>78</v>
      </c>
      <c r="S81" s="229"/>
      <c r="T81" s="182"/>
      <c r="U81" s="182"/>
      <c r="V81" s="182"/>
      <c r="W81" s="182"/>
      <c r="X81" s="182"/>
      <c r="Y81" s="182"/>
      <c r="Z81" s="182"/>
      <c r="AA81" s="162">
        <f ca="1">TblImps[[#This Row],[Real time]]</f>
        <v>44874.208333333147</v>
      </c>
      <c r="AB81" s="97">
        <f ca="1">TblMili[[#This Row],[Draftees]]</f>
        <v>100</v>
      </c>
      <c r="AC81" s="97">
        <f ca="1">TblProd[[#This Row],[Platinum]]</f>
        <v>531711</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25</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0.78508341511285573</v>
      </c>
      <c r="P82" s="228">
        <f ca="1">TblImps[[#This Row],[Population]]</f>
        <v>0.99151823579304499</v>
      </c>
      <c r="Q82" s="178">
        <f ca="1">TblExplore[[#This Row],[Land]]</f>
        <v>250</v>
      </c>
      <c r="R82" s="178">
        <f>TblExplore[[#This Row],[Hour]]</f>
        <v>79</v>
      </c>
      <c r="S82" s="229"/>
      <c r="T82" s="182"/>
      <c r="U82" s="182"/>
      <c r="V82" s="182"/>
      <c r="W82" s="182"/>
      <c r="X82" s="182"/>
      <c r="Y82" s="182"/>
      <c r="Z82" s="182"/>
      <c r="AA82" s="162">
        <f ca="1">TblImps[[#This Row],[Real time]]</f>
        <v>44874.249999999811</v>
      </c>
      <c r="AB82" s="97">
        <f ca="1">TblMili[[#This Row],[Draftees]]</f>
        <v>100</v>
      </c>
      <c r="AC82" s="97">
        <f ca="1">TblProd[[#This Row],[Platinum]]</f>
        <v>537381</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25</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0.78508341511285573</v>
      </c>
      <c r="P83" s="228">
        <f ca="1">TblImps[[#This Row],[Population]]</f>
        <v>0.99151823579304499</v>
      </c>
      <c r="Q83" s="178">
        <f ca="1">TblExplore[[#This Row],[Land]]</f>
        <v>250</v>
      </c>
      <c r="R83" s="178">
        <f>TblExplore[[#This Row],[Hour]]</f>
        <v>80</v>
      </c>
      <c r="S83" s="229"/>
      <c r="T83" s="182"/>
      <c r="U83" s="182"/>
      <c r="V83" s="182"/>
      <c r="W83" s="182"/>
      <c r="X83" s="182"/>
      <c r="Y83" s="182"/>
      <c r="Z83" s="182"/>
      <c r="AA83" s="162">
        <f ca="1">TblImps[[#This Row],[Real time]]</f>
        <v>44874.291666666475</v>
      </c>
      <c r="AB83" s="97">
        <f ca="1">TblMili[[#This Row],[Draftees]]</f>
        <v>100</v>
      </c>
      <c r="AC83" s="97">
        <f ca="1">TblProd[[#This Row],[Platinum]]</f>
        <v>543051</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25</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0.78508341511285573</v>
      </c>
      <c r="P84" s="228">
        <f ca="1">TblImps[[#This Row],[Population]]</f>
        <v>0.99151823579304499</v>
      </c>
      <c r="Q84" s="178">
        <f ca="1">TblExplore[[#This Row],[Land]]</f>
        <v>250</v>
      </c>
      <c r="R84" s="178">
        <f>TblExplore[[#This Row],[Hour]]</f>
        <v>81</v>
      </c>
      <c r="S84" s="229"/>
      <c r="T84" s="182"/>
      <c r="U84" s="182"/>
      <c r="V84" s="182"/>
      <c r="W84" s="182"/>
      <c r="X84" s="182"/>
      <c r="Y84" s="182"/>
      <c r="Z84" s="182"/>
      <c r="AA84" s="162">
        <f ca="1">TblImps[[#This Row],[Real time]]</f>
        <v>44874.333333333139</v>
      </c>
      <c r="AB84" s="97">
        <f ca="1">TblMili[[#This Row],[Draftees]]</f>
        <v>100</v>
      </c>
      <c r="AC84" s="97">
        <f ca="1">TblProd[[#This Row],[Platinum]]</f>
        <v>548721</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25</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0.78508341511285573</v>
      </c>
      <c r="P85" s="228">
        <f ca="1">TblImps[[#This Row],[Population]]</f>
        <v>0.99151823579304499</v>
      </c>
      <c r="Q85" s="178">
        <f ca="1">TblExplore[[#This Row],[Land]]</f>
        <v>250</v>
      </c>
      <c r="R85" s="178">
        <f>TblExplore[[#This Row],[Hour]]</f>
        <v>82</v>
      </c>
      <c r="S85" s="229"/>
      <c r="T85" s="182"/>
      <c r="U85" s="182"/>
      <c r="V85" s="182"/>
      <c r="W85" s="182"/>
      <c r="X85" s="182"/>
      <c r="Y85" s="182"/>
      <c r="Z85" s="182"/>
      <c r="AA85" s="162">
        <f ca="1">TblImps[[#This Row],[Real time]]</f>
        <v>44874.374999999804</v>
      </c>
      <c r="AB85" s="97">
        <f ca="1">TblMili[[#This Row],[Draftees]]</f>
        <v>100</v>
      </c>
      <c r="AC85" s="97">
        <f ca="1">TblProd[[#This Row],[Platinum]]</f>
        <v>554391</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25</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0.78508341511285573</v>
      </c>
      <c r="P86" s="228">
        <f ca="1">TblImps[[#This Row],[Population]]</f>
        <v>0.99151823579304499</v>
      </c>
      <c r="Q86" s="178">
        <f ca="1">TblExplore[[#This Row],[Land]]</f>
        <v>250</v>
      </c>
      <c r="R86" s="178">
        <f>TblExplore[[#This Row],[Hour]]</f>
        <v>83</v>
      </c>
      <c r="S86" s="229"/>
      <c r="T86" s="182"/>
      <c r="U86" s="182"/>
      <c r="V86" s="182"/>
      <c r="W86" s="182"/>
      <c r="X86" s="182"/>
      <c r="Y86" s="182"/>
      <c r="Z86" s="182"/>
      <c r="AA86" s="162">
        <f ca="1">TblImps[[#This Row],[Real time]]</f>
        <v>44874.416666666468</v>
      </c>
      <c r="AB86" s="97">
        <f ca="1">TblMili[[#This Row],[Draftees]]</f>
        <v>100</v>
      </c>
      <c r="AC86" s="97">
        <f ca="1">TblProd[[#This Row],[Platinum]]</f>
        <v>560061</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25</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0.78508341511285573</v>
      </c>
      <c r="P87" s="228">
        <f ca="1">TblImps[[#This Row],[Population]]</f>
        <v>0.99151823579304499</v>
      </c>
      <c r="Q87" s="178">
        <f ca="1">TblExplore[[#This Row],[Land]]</f>
        <v>250</v>
      </c>
      <c r="R87" s="178">
        <f>TblExplore[[#This Row],[Hour]]</f>
        <v>84</v>
      </c>
      <c r="S87" s="229"/>
      <c r="T87" s="161"/>
      <c r="U87" s="182"/>
      <c r="V87" s="182"/>
      <c r="W87" s="182"/>
      <c r="X87" s="182"/>
      <c r="Y87" s="182"/>
      <c r="Z87" s="182"/>
      <c r="AA87" s="162">
        <f ca="1">TblImps[[#This Row],[Real time]]</f>
        <v>44874.458333333132</v>
      </c>
      <c r="AB87" s="97">
        <f ca="1">TblMili[[#This Row],[Draftees]]</f>
        <v>100</v>
      </c>
      <c r="AC87" s="97">
        <f ca="1">TblProd[[#This Row],[Platinum]]</f>
        <v>565731</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25</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0.78508341511285573</v>
      </c>
      <c r="P88" s="228">
        <f ca="1">TblImps[[#This Row],[Population]]</f>
        <v>0.99151823579304499</v>
      </c>
      <c r="Q88" s="178">
        <f ca="1">TblExplore[[#This Row],[Land]]</f>
        <v>250</v>
      </c>
      <c r="R88" s="178">
        <f>TblExplore[[#This Row],[Hour]]</f>
        <v>85</v>
      </c>
      <c r="S88" s="229"/>
      <c r="T88" s="182"/>
      <c r="U88" s="182"/>
      <c r="V88" s="182"/>
      <c r="W88" s="182"/>
      <c r="X88" s="182"/>
      <c r="Y88" s="182"/>
      <c r="Z88" s="182"/>
      <c r="AA88" s="162">
        <f ca="1">TblImps[[#This Row],[Real time]]</f>
        <v>44874.499999999796</v>
      </c>
      <c r="AB88" s="97">
        <f ca="1">TblMili[[#This Row],[Draftees]]</f>
        <v>100</v>
      </c>
      <c r="AC88" s="97">
        <f ca="1">TblProd[[#This Row],[Platinum]]</f>
        <v>571401</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25</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0.78508341511285573</v>
      </c>
      <c r="P89" s="228">
        <f ca="1">TblImps[[#This Row],[Population]]</f>
        <v>0.99151823579304499</v>
      </c>
      <c r="Q89" s="178">
        <f ca="1">TblExplore[[#This Row],[Land]]</f>
        <v>250</v>
      </c>
      <c r="R89" s="178">
        <f>TblExplore[[#This Row],[Hour]]</f>
        <v>86</v>
      </c>
      <c r="S89" s="229"/>
      <c r="T89" s="182"/>
      <c r="U89" s="182"/>
      <c r="V89" s="182"/>
      <c r="W89" s="182"/>
      <c r="X89" s="182"/>
      <c r="Y89" s="182"/>
      <c r="Z89" s="182"/>
      <c r="AA89" s="162">
        <f ca="1">TblImps[[#This Row],[Real time]]</f>
        <v>44874.541666666461</v>
      </c>
      <c r="AB89" s="97">
        <f ca="1">TblMili[[#This Row],[Draftees]]</f>
        <v>100</v>
      </c>
      <c r="AC89" s="97">
        <f ca="1">TblProd[[#This Row],[Platinum]]</f>
        <v>577071</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25</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0.78508341511285573</v>
      </c>
      <c r="P90" s="228">
        <f ca="1">TblImps[[#This Row],[Population]]</f>
        <v>0.99151823579304499</v>
      </c>
      <c r="Q90" s="178">
        <f ca="1">TblExplore[[#This Row],[Land]]</f>
        <v>250</v>
      </c>
      <c r="R90" s="178">
        <f>TblExplore[[#This Row],[Hour]]</f>
        <v>87</v>
      </c>
      <c r="S90" s="229"/>
      <c r="T90" s="182"/>
      <c r="U90" s="182"/>
      <c r="V90" s="182"/>
      <c r="W90" s="182"/>
      <c r="X90" s="182"/>
      <c r="Y90" s="182"/>
      <c r="Z90" s="182"/>
      <c r="AA90" s="162">
        <f ca="1">TblImps[[#This Row],[Real time]]</f>
        <v>44874.583333333125</v>
      </c>
      <c r="AB90" s="97">
        <f ca="1">TblMili[[#This Row],[Draftees]]</f>
        <v>100</v>
      </c>
      <c r="AC90" s="97">
        <f ca="1">TblProd[[#This Row],[Platinum]]</f>
        <v>582741</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25</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0.78508341511285573</v>
      </c>
      <c r="P91" s="228">
        <f ca="1">TblImps[[#This Row],[Population]]</f>
        <v>0.99151823579304499</v>
      </c>
      <c r="Q91" s="178">
        <f ca="1">TblExplore[[#This Row],[Land]]</f>
        <v>250</v>
      </c>
      <c r="R91" s="178">
        <f>TblExplore[[#This Row],[Hour]]</f>
        <v>88</v>
      </c>
      <c r="S91" s="229"/>
      <c r="T91" s="161"/>
      <c r="U91" s="182"/>
      <c r="V91" s="182"/>
      <c r="W91" s="182"/>
      <c r="X91" s="182"/>
      <c r="Y91" s="182"/>
      <c r="Z91" s="182"/>
      <c r="AA91" s="162">
        <f ca="1">TblImps[[#This Row],[Real time]]</f>
        <v>44874.624999999789</v>
      </c>
      <c r="AB91" s="97">
        <f ca="1">TblMili[[#This Row],[Draftees]]</f>
        <v>100</v>
      </c>
      <c r="AC91" s="97">
        <f ca="1">TblProd[[#This Row],[Platinum]]</f>
        <v>588411</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25</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0.78508341511285573</v>
      </c>
      <c r="P92" s="228">
        <f ca="1">TblImps[[#This Row],[Population]]</f>
        <v>0.99151823579304499</v>
      </c>
      <c r="Q92" s="178">
        <f ca="1">TblExplore[[#This Row],[Land]]</f>
        <v>250</v>
      </c>
      <c r="R92" s="178">
        <f>TblExplore[[#This Row],[Hour]]</f>
        <v>89</v>
      </c>
      <c r="S92" s="229"/>
      <c r="T92" s="161"/>
      <c r="U92" s="182"/>
      <c r="V92" s="182"/>
      <c r="W92" s="182"/>
      <c r="X92" s="182"/>
      <c r="Y92" s="182"/>
      <c r="Z92" s="182"/>
      <c r="AA92" s="162">
        <f ca="1">TblImps[[#This Row],[Real time]]</f>
        <v>44874.666666666453</v>
      </c>
      <c r="AB92" s="97">
        <f ca="1">TblMili[[#This Row],[Draftees]]</f>
        <v>100</v>
      </c>
      <c r="AC92" s="97">
        <f ca="1">TblProd[[#This Row],[Platinum]]</f>
        <v>594081</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25</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0.78508341511285573</v>
      </c>
      <c r="P93" s="228">
        <f ca="1">TblImps[[#This Row],[Population]]</f>
        <v>0.99151823579304499</v>
      </c>
      <c r="Q93" s="178">
        <f ca="1">TblExplore[[#This Row],[Land]]</f>
        <v>250</v>
      </c>
      <c r="R93" s="178">
        <f>TblExplore[[#This Row],[Hour]]</f>
        <v>90</v>
      </c>
      <c r="S93" s="229"/>
      <c r="T93" s="182"/>
      <c r="U93" s="182"/>
      <c r="V93" s="182"/>
      <c r="W93" s="182"/>
      <c r="X93" s="182"/>
      <c r="Y93" s="182"/>
      <c r="Z93" s="182"/>
      <c r="AA93" s="162">
        <f ca="1">TblImps[[#This Row],[Real time]]</f>
        <v>44874.708333333117</v>
      </c>
      <c r="AB93" s="97">
        <f ca="1">TblMili[[#This Row],[Draftees]]</f>
        <v>100</v>
      </c>
      <c r="AC93" s="97">
        <f ca="1">TblProd[[#This Row],[Platinum]]</f>
        <v>599751</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25</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0.78508341511285573</v>
      </c>
      <c r="P94" s="228">
        <f ca="1">TblImps[[#This Row],[Population]]</f>
        <v>0.99151823579304499</v>
      </c>
      <c r="Q94" s="178">
        <f ca="1">TblExplore[[#This Row],[Land]]</f>
        <v>250</v>
      </c>
      <c r="R94" s="178">
        <f>TblExplore[[#This Row],[Hour]]</f>
        <v>91</v>
      </c>
      <c r="S94" s="229"/>
      <c r="T94" s="182"/>
      <c r="U94" s="182"/>
      <c r="V94" s="182"/>
      <c r="W94" s="182"/>
      <c r="X94" s="182"/>
      <c r="Y94" s="182"/>
      <c r="Z94" s="182"/>
      <c r="AA94" s="162">
        <f ca="1">TblImps[[#This Row],[Real time]]</f>
        <v>44874.749999999782</v>
      </c>
      <c r="AB94" s="97">
        <f ca="1">TblMili[[#This Row],[Draftees]]</f>
        <v>100</v>
      </c>
      <c r="AC94" s="97">
        <f ca="1">TblProd[[#This Row],[Platinum]]</f>
        <v>605421</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25</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0.78508341511285573</v>
      </c>
      <c r="P95" s="228">
        <f ca="1">TblImps[[#This Row],[Population]]</f>
        <v>0.99151823579304499</v>
      </c>
      <c r="Q95" s="178">
        <f ca="1">TblExplore[[#This Row],[Land]]</f>
        <v>250</v>
      </c>
      <c r="R95" s="178">
        <f>TblExplore[[#This Row],[Hour]]</f>
        <v>92</v>
      </c>
      <c r="S95" s="229"/>
      <c r="T95" s="182"/>
      <c r="U95" s="182"/>
      <c r="V95" s="182"/>
      <c r="W95" s="182"/>
      <c r="X95" s="182"/>
      <c r="Y95" s="182"/>
      <c r="Z95" s="182"/>
      <c r="AA95" s="162">
        <f ca="1">TblImps[[#This Row],[Real time]]</f>
        <v>44874.791666666446</v>
      </c>
      <c r="AB95" s="97">
        <f ca="1">TblMili[[#This Row],[Draftees]]</f>
        <v>100</v>
      </c>
      <c r="AC95" s="97">
        <f ca="1">TblProd[[#This Row],[Platinum]]</f>
        <v>611091</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25</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0.78508341511285573</v>
      </c>
      <c r="P96" s="228">
        <f ca="1">TblImps[[#This Row],[Population]]</f>
        <v>0.99151823579304499</v>
      </c>
      <c r="Q96" s="178">
        <f ca="1">TblExplore[[#This Row],[Land]]</f>
        <v>250</v>
      </c>
      <c r="R96" s="225">
        <f>TblExplore[[#This Row],[Hour]]</f>
        <v>93</v>
      </c>
      <c r="S96" s="229"/>
      <c r="T96" s="182"/>
      <c r="U96" s="182"/>
      <c r="V96" s="182"/>
      <c r="W96" s="182"/>
      <c r="X96" s="182"/>
      <c r="Y96" s="182"/>
      <c r="Z96" s="182"/>
      <c r="AA96" s="162">
        <f ca="1">TblImps[[#This Row],[Real time]]</f>
        <v>44874.83333333311</v>
      </c>
      <c r="AB96" s="97">
        <f ca="1">TblMili[[#This Row],[Draftees]]</f>
        <v>100</v>
      </c>
      <c r="AC96" s="97">
        <f ca="1">TblProd[[#This Row],[Platinum]]</f>
        <v>616761</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25</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0.78508341511285573</v>
      </c>
      <c r="P97" s="228">
        <f ca="1">TblImps[[#This Row],[Population]]</f>
        <v>0.99151823579304499</v>
      </c>
      <c r="Q97" s="178">
        <f ca="1">TblExplore[[#This Row],[Land]]</f>
        <v>250</v>
      </c>
      <c r="R97" s="225">
        <f>TblExplore[[#This Row],[Hour]]</f>
        <v>94</v>
      </c>
      <c r="S97" s="229"/>
      <c r="T97" s="182"/>
      <c r="U97" s="182"/>
      <c r="V97" s="182"/>
      <c r="W97" s="182"/>
      <c r="X97" s="182"/>
      <c r="Y97" s="182"/>
      <c r="Z97" s="182"/>
      <c r="AA97" s="162">
        <f ca="1">TblImps[[#This Row],[Real time]]</f>
        <v>44874.874999999774</v>
      </c>
      <c r="AB97" s="97">
        <f ca="1">TblMili[[#This Row],[Draftees]]</f>
        <v>100</v>
      </c>
      <c r="AC97" s="97">
        <f ca="1">TblProd[[#This Row],[Platinum]]</f>
        <v>622431</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25</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0.78508341511285573</v>
      </c>
      <c r="P98" s="228">
        <f ca="1">TblImps[[#This Row],[Population]]</f>
        <v>0.99151823579304499</v>
      </c>
      <c r="Q98" s="178">
        <f ca="1">TblExplore[[#This Row],[Land]]</f>
        <v>250</v>
      </c>
      <c r="R98" s="178">
        <f>TblExplore[[#This Row],[Hour]]</f>
        <v>95</v>
      </c>
      <c r="S98" s="229"/>
      <c r="T98" s="182"/>
      <c r="U98" s="182"/>
      <c r="V98" s="182"/>
      <c r="W98" s="182"/>
      <c r="X98" s="182"/>
      <c r="Y98" s="182"/>
      <c r="Z98" s="182"/>
      <c r="AA98" s="162">
        <f ca="1">TblImps[[#This Row],[Real time]]</f>
        <v>44874.916666666439</v>
      </c>
      <c r="AB98" s="97">
        <f ca="1">TblMili[[#This Row],[Draftees]]</f>
        <v>100</v>
      </c>
      <c r="AC98" s="97">
        <f ca="1">TblProd[[#This Row],[Platinum]]</f>
        <v>628101</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25</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0.78508341511285573</v>
      </c>
      <c r="P99" s="228">
        <f ca="1">TblImps[[#This Row],[Population]]</f>
        <v>0.99151823579304499</v>
      </c>
      <c r="Q99" s="178">
        <f ca="1">TblExplore[[#This Row],[Land]]</f>
        <v>250</v>
      </c>
      <c r="R99" s="178">
        <f>TblExplore[[#This Row],[Hour]]</f>
        <v>96</v>
      </c>
      <c r="S99" s="229"/>
      <c r="T99" s="161"/>
      <c r="U99" s="182"/>
      <c r="V99" s="182"/>
      <c r="W99" s="182"/>
      <c r="X99" s="182"/>
      <c r="Y99" s="182"/>
      <c r="Z99" s="182"/>
      <c r="AA99" s="162">
        <f ca="1">TblImps[[#This Row],[Real time]]</f>
        <v>44874.958333333103</v>
      </c>
      <c r="AB99" s="97">
        <f ca="1">TblMili[[#This Row],[Draftees]]</f>
        <v>100</v>
      </c>
      <c r="AC99" s="97">
        <f ca="1">TblProd[[#This Row],[Platinum]]</f>
        <v>633771</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25</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0.78508341511285573</v>
      </c>
      <c r="P100" s="228">
        <f ca="1">TblImps[[#This Row],[Population]]</f>
        <v>0.99151823579304499</v>
      </c>
      <c r="Q100" s="178">
        <f ca="1">TblExplore[[#This Row],[Land]]</f>
        <v>250</v>
      </c>
      <c r="R100" s="178">
        <f>TblExplore[[#This Row],[Hour]]</f>
        <v>97</v>
      </c>
      <c r="S100" s="229"/>
      <c r="T100" s="182"/>
      <c r="U100" s="182"/>
      <c r="V100" s="182"/>
      <c r="W100" s="182"/>
      <c r="X100" s="182"/>
      <c r="Y100" s="182"/>
      <c r="Z100" s="182"/>
      <c r="AA100" s="162">
        <f ca="1">TblImps[[#This Row],[Real time]]</f>
        <v>44874.999999999767</v>
      </c>
      <c r="AB100" s="97">
        <f ca="1">TblMili[[#This Row],[Draftees]]</f>
        <v>100</v>
      </c>
      <c r="AC100" s="97">
        <f ca="1">TblProd[[#This Row],[Platinum]]</f>
        <v>639441</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25</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0.78508341511285573</v>
      </c>
      <c r="P101" s="228">
        <f ca="1">TblImps[[#This Row],[Population]]</f>
        <v>0.99151823579304499</v>
      </c>
      <c r="Q101" s="178">
        <f ca="1">TblExplore[[#This Row],[Land]]</f>
        <v>250</v>
      </c>
      <c r="R101" s="178">
        <f>TblExplore[[#This Row],[Hour]]</f>
        <v>98</v>
      </c>
      <c r="S101" s="229"/>
      <c r="T101" s="161"/>
      <c r="U101" s="182"/>
      <c r="V101" s="182"/>
      <c r="W101" s="182"/>
      <c r="X101" s="182"/>
      <c r="Y101" s="182"/>
      <c r="Z101" s="182"/>
      <c r="AA101" s="162">
        <f ca="1">TblImps[[#This Row],[Real time]]</f>
        <v>44875.041666666431</v>
      </c>
      <c r="AB101" s="97">
        <f ca="1">TblMili[[#This Row],[Draftees]]</f>
        <v>100</v>
      </c>
      <c r="AC101" s="97">
        <f ca="1">TblProd[[#This Row],[Platinum]]</f>
        <v>645111</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25</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0.78508341511285573</v>
      </c>
      <c r="P102" s="228">
        <f ca="1">TblImps[[#This Row],[Population]]</f>
        <v>0.99151823579304499</v>
      </c>
      <c r="Q102" s="178">
        <f ca="1">TblExplore[[#This Row],[Land]]</f>
        <v>250</v>
      </c>
      <c r="R102" s="178">
        <f>TblExplore[[#This Row],[Hour]]</f>
        <v>99</v>
      </c>
      <c r="S102" s="229"/>
      <c r="T102" s="161"/>
      <c r="U102" s="182"/>
      <c r="V102" s="182"/>
      <c r="W102" s="182"/>
      <c r="X102" s="182"/>
      <c r="Y102" s="182"/>
      <c r="Z102" s="182"/>
      <c r="AA102" s="162">
        <f ca="1">TblImps[[#This Row],[Real time]]</f>
        <v>44875.083333333096</v>
      </c>
      <c r="AB102" s="97">
        <f ca="1">TblMili[[#This Row],[Draftees]]</f>
        <v>100</v>
      </c>
      <c r="AC102" s="97">
        <f ca="1">TblProd[[#This Row],[Platinum]]</f>
        <v>650781</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25</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0.78508341511285573</v>
      </c>
      <c r="P103" s="228">
        <f ca="1">TblImps[[#This Row],[Population]]</f>
        <v>0.99151823579304499</v>
      </c>
      <c r="Q103" s="178">
        <f ca="1">TblExplore[[#This Row],[Land]]</f>
        <v>250</v>
      </c>
      <c r="R103" s="178">
        <f>TblExplore[[#This Row],[Hour]]</f>
        <v>100</v>
      </c>
      <c r="S103" s="229"/>
      <c r="T103" s="161"/>
      <c r="U103" s="182"/>
      <c r="V103" s="182"/>
      <c r="W103" s="182"/>
      <c r="X103" s="182"/>
      <c r="Y103" s="182"/>
      <c r="Z103" s="182"/>
      <c r="AA103" s="162">
        <f ca="1">TblImps[[#This Row],[Real time]]</f>
        <v>44875.12499999976</v>
      </c>
      <c r="AB103" s="97">
        <f ca="1">TblMili[[#This Row],[Draftees]]</f>
        <v>100</v>
      </c>
      <c r="AC103" s="97">
        <f ca="1">TblProd[[#This Row],[Platinum]]</f>
        <v>656451</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25</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0.78508341511285573</v>
      </c>
      <c r="P104" s="228">
        <f ca="1">TblImps[[#This Row],[Population]]</f>
        <v>0.99151823579304499</v>
      </c>
      <c r="Q104" s="178">
        <f ca="1">TblExplore[[#This Row],[Land]]</f>
        <v>250</v>
      </c>
      <c r="R104" s="178">
        <f>TblExplore[[#This Row],[Hour]]</f>
        <v>101</v>
      </c>
      <c r="S104" s="229"/>
      <c r="T104" s="161"/>
      <c r="U104" s="182"/>
      <c r="V104" s="182"/>
      <c r="W104" s="182"/>
      <c r="X104" s="182"/>
      <c r="Y104" s="182"/>
      <c r="Z104" s="182"/>
      <c r="AA104" s="162">
        <f ca="1">TblImps[[#This Row],[Real time]]</f>
        <v>44875.166666666424</v>
      </c>
      <c r="AB104" s="97">
        <f ca="1">TblMili[[#This Row],[Draftees]]</f>
        <v>100</v>
      </c>
      <c r="AC104" s="97">
        <f ca="1">TblProd[[#This Row],[Platinum]]</f>
        <v>662121</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25</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0.78508341511285573</v>
      </c>
      <c r="P105" s="228">
        <f ca="1">TblImps[[#This Row],[Population]]</f>
        <v>0.99151823579304499</v>
      </c>
      <c r="Q105" s="178">
        <f ca="1">TblExplore[[#This Row],[Land]]</f>
        <v>250</v>
      </c>
      <c r="R105" s="178">
        <f>TblExplore[[#This Row],[Hour]]</f>
        <v>102</v>
      </c>
      <c r="S105" s="229"/>
      <c r="T105" s="182"/>
      <c r="U105" s="182"/>
      <c r="V105" s="182"/>
      <c r="W105" s="182"/>
      <c r="X105" s="182"/>
      <c r="Y105" s="182"/>
      <c r="Z105" s="182"/>
      <c r="AA105" s="162">
        <f ca="1">TblImps[[#This Row],[Real time]]</f>
        <v>44875.208333333088</v>
      </c>
      <c r="AB105" s="97">
        <f ca="1">TblMili[[#This Row],[Draftees]]</f>
        <v>100</v>
      </c>
      <c r="AC105" s="97">
        <f ca="1">TblProd[[#This Row],[Platinum]]</f>
        <v>667791</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25</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0.78508341511285573</v>
      </c>
      <c r="P106" s="228">
        <f ca="1">TblImps[[#This Row],[Population]]</f>
        <v>0.99151823579304499</v>
      </c>
      <c r="Q106" s="178">
        <f ca="1">TblExplore[[#This Row],[Land]]</f>
        <v>250</v>
      </c>
      <c r="R106" s="178">
        <f>TblExplore[[#This Row],[Hour]]</f>
        <v>103</v>
      </c>
      <c r="S106" s="229"/>
      <c r="T106" s="182"/>
      <c r="U106" s="182"/>
      <c r="V106" s="182"/>
      <c r="W106" s="182"/>
      <c r="X106" s="182"/>
      <c r="Y106" s="182"/>
      <c r="Z106" s="182"/>
      <c r="AA106" s="162">
        <f ca="1">TblImps[[#This Row],[Real time]]</f>
        <v>44875.249999999753</v>
      </c>
      <c r="AB106" s="97">
        <f ca="1">TblMili[[#This Row],[Draftees]]</f>
        <v>100</v>
      </c>
      <c r="AC106" s="97">
        <f ca="1">TblProd[[#This Row],[Platinum]]</f>
        <v>673461</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25</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0.78508341511285573</v>
      </c>
      <c r="P107" s="228">
        <f ca="1">TblImps[[#This Row],[Population]]</f>
        <v>0.99151823579304499</v>
      </c>
      <c r="Q107" s="178">
        <f ca="1">TblExplore[[#This Row],[Land]]</f>
        <v>250</v>
      </c>
      <c r="R107" s="178">
        <f>TblExplore[[#This Row],[Hour]]</f>
        <v>104</v>
      </c>
      <c r="S107" s="229"/>
      <c r="T107" s="182"/>
      <c r="U107" s="182"/>
      <c r="V107" s="182"/>
      <c r="W107" s="182"/>
      <c r="X107" s="182"/>
      <c r="Y107" s="182"/>
      <c r="Z107" s="182"/>
      <c r="AA107" s="162">
        <f ca="1">TblImps[[#This Row],[Real time]]</f>
        <v>44875.291666666417</v>
      </c>
      <c r="AB107" s="97">
        <f ca="1">TblMili[[#This Row],[Draftees]]</f>
        <v>100</v>
      </c>
      <c r="AC107" s="97">
        <f ca="1">TblProd[[#This Row],[Platinum]]</f>
        <v>679131</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25</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0.78508341511285573</v>
      </c>
      <c r="P108" s="228">
        <f ca="1">TblImps[[#This Row],[Population]]</f>
        <v>0.99151823579304499</v>
      </c>
      <c r="Q108" s="178">
        <f ca="1">TblExplore[[#This Row],[Land]]</f>
        <v>250</v>
      </c>
      <c r="R108" s="178">
        <f>TblExplore[[#This Row],[Hour]]</f>
        <v>105</v>
      </c>
      <c r="S108" s="229"/>
      <c r="T108" s="182"/>
      <c r="U108" s="182"/>
      <c r="V108" s="182"/>
      <c r="W108" s="182"/>
      <c r="X108" s="182"/>
      <c r="Y108" s="182"/>
      <c r="Z108" s="182"/>
      <c r="AA108" s="162">
        <f ca="1">TblImps[[#This Row],[Real time]]</f>
        <v>44875.333333333081</v>
      </c>
      <c r="AB108" s="97">
        <f ca="1">TblMili[[#This Row],[Draftees]]</f>
        <v>100</v>
      </c>
      <c r="AC108" s="97">
        <f ca="1">TblProd[[#This Row],[Platinum]]</f>
        <v>684801</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25</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0.78508341511285573</v>
      </c>
      <c r="P109" s="228">
        <f ca="1">TblImps[[#This Row],[Population]]</f>
        <v>0.99151823579304499</v>
      </c>
      <c r="Q109" s="178">
        <f ca="1">TblExplore[[#This Row],[Land]]</f>
        <v>250</v>
      </c>
      <c r="R109" s="178">
        <f>TblExplore[[#This Row],[Hour]]</f>
        <v>106</v>
      </c>
      <c r="S109" s="229"/>
      <c r="T109" s="182"/>
      <c r="U109" s="182"/>
      <c r="V109" s="182"/>
      <c r="W109" s="182"/>
      <c r="X109" s="182"/>
      <c r="Y109" s="182"/>
      <c r="Z109" s="182"/>
      <c r="AA109" s="162">
        <f ca="1">TblImps[[#This Row],[Real time]]</f>
        <v>44875.374999999745</v>
      </c>
      <c r="AB109" s="97">
        <f ca="1">TblMili[[#This Row],[Draftees]]</f>
        <v>100</v>
      </c>
      <c r="AC109" s="97">
        <f ca="1">TblProd[[#This Row],[Platinum]]</f>
        <v>690471</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25</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0.78508341511285573</v>
      </c>
      <c r="P110" s="228">
        <f ca="1">TblImps[[#This Row],[Population]]</f>
        <v>0.99151823579304499</v>
      </c>
      <c r="Q110" s="178">
        <f ca="1">TblExplore[[#This Row],[Land]]</f>
        <v>250</v>
      </c>
      <c r="R110" s="178">
        <f>TblExplore[[#This Row],[Hour]]</f>
        <v>107</v>
      </c>
      <c r="S110" s="229"/>
      <c r="T110" s="161"/>
      <c r="U110" s="182"/>
      <c r="V110" s="182"/>
      <c r="W110" s="182"/>
      <c r="X110" s="182"/>
      <c r="Y110" s="182"/>
      <c r="Z110" s="182"/>
      <c r="AA110" s="162">
        <f ca="1">TblImps[[#This Row],[Real time]]</f>
        <v>44875.41666666641</v>
      </c>
      <c r="AB110" s="97">
        <f ca="1">TblMili[[#This Row],[Draftees]]</f>
        <v>100</v>
      </c>
      <c r="AC110" s="97">
        <f ca="1">TblProd[[#This Row],[Platinum]]</f>
        <v>696141</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25</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0.78508341511285573</v>
      </c>
      <c r="P111" s="228">
        <f ca="1">TblImps[[#This Row],[Population]]</f>
        <v>0.99151823579304499</v>
      </c>
      <c r="Q111" s="178">
        <f ca="1">TblExplore[[#This Row],[Land]]</f>
        <v>250</v>
      </c>
      <c r="R111" s="178">
        <f>TblExplore[[#This Row],[Hour]]</f>
        <v>108</v>
      </c>
      <c r="S111" s="229"/>
      <c r="T111" s="182"/>
      <c r="U111" s="182"/>
      <c r="V111" s="182"/>
      <c r="W111" s="182"/>
      <c r="X111" s="182"/>
      <c r="Y111" s="182"/>
      <c r="Z111" s="182"/>
      <c r="AA111" s="162">
        <f ca="1">TblImps[[#This Row],[Real time]]</f>
        <v>44875.458333333074</v>
      </c>
      <c r="AB111" s="97">
        <f ca="1">TblMili[[#This Row],[Draftees]]</f>
        <v>100</v>
      </c>
      <c r="AC111" s="97">
        <f ca="1">TblProd[[#This Row],[Platinum]]</f>
        <v>701811</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25</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0.78508341511285573</v>
      </c>
      <c r="P112" s="228">
        <f ca="1">TblImps[[#This Row],[Population]]</f>
        <v>0.99151823579304499</v>
      </c>
      <c r="Q112" s="178">
        <f ca="1">TblExplore[[#This Row],[Land]]</f>
        <v>250</v>
      </c>
      <c r="R112" s="178">
        <f>TblExplore[[#This Row],[Hour]]</f>
        <v>109</v>
      </c>
      <c r="S112" s="229"/>
      <c r="T112" s="182"/>
      <c r="U112" s="182"/>
      <c r="V112" s="182"/>
      <c r="W112" s="182"/>
      <c r="X112" s="182"/>
      <c r="Y112" s="182"/>
      <c r="Z112" s="182"/>
      <c r="AA112" s="162">
        <f ca="1">TblImps[[#This Row],[Real time]]</f>
        <v>44875.499999999738</v>
      </c>
      <c r="AB112" s="97">
        <f ca="1">TblMili[[#This Row],[Draftees]]</f>
        <v>100</v>
      </c>
      <c r="AC112" s="97">
        <f ca="1">TblProd[[#This Row],[Platinum]]</f>
        <v>707481</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25</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0.78508341511285573</v>
      </c>
      <c r="P113" s="228">
        <f ca="1">TblImps[[#This Row],[Population]]</f>
        <v>0.99151823579304499</v>
      </c>
      <c r="Q113" s="178">
        <f ca="1">TblExplore[[#This Row],[Land]]</f>
        <v>250</v>
      </c>
      <c r="R113" s="178">
        <f>TblExplore[[#This Row],[Hour]]</f>
        <v>110</v>
      </c>
      <c r="S113" s="229"/>
      <c r="T113" s="182"/>
      <c r="U113" s="182"/>
      <c r="V113" s="182"/>
      <c r="W113" s="182"/>
      <c r="X113" s="182"/>
      <c r="Y113" s="182"/>
      <c r="Z113" s="182"/>
      <c r="AA113" s="162">
        <f ca="1">TblImps[[#This Row],[Real time]]</f>
        <v>44875.541666666402</v>
      </c>
      <c r="AB113" s="97">
        <f ca="1">TblMili[[#This Row],[Draftees]]</f>
        <v>100</v>
      </c>
      <c r="AC113" s="97">
        <f ca="1">TblProd[[#This Row],[Platinum]]</f>
        <v>713151</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25</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0.78508341511285573</v>
      </c>
      <c r="P114" s="228">
        <f ca="1">TblImps[[#This Row],[Population]]</f>
        <v>0.99151823579304499</v>
      </c>
      <c r="Q114" s="178">
        <f ca="1">TblExplore[[#This Row],[Land]]</f>
        <v>250</v>
      </c>
      <c r="R114" s="178">
        <f>TblExplore[[#This Row],[Hour]]</f>
        <v>111</v>
      </c>
      <c r="S114" s="229"/>
      <c r="T114" s="182"/>
      <c r="U114" s="182"/>
      <c r="V114" s="182"/>
      <c r="W114" s="182"/>
      <c r="X114" s="182"/>
      <c r="Y114" s="182"/>
      <c r="Z114" s="182"/>
      <c r="AA114" s="162">
        <f ca="1">TblImps[[#This Row],[Real time]]</f>
        <v>44875.583333333067</v>
      </c>
      <c r="AB114" s="97">
        <f ca="1">TblMili[[#This Row],[Draftees]]</f>
        <v>100</v>
      </c>
      <c r="AC114" s="97">
        <f ca="1">TblProd[[#This Row],[Platinum]]</f>
        <v>718821</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25</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0.78508341511285573</v>
      </c>
      <c r="P115" s="228">
        <f ca="1">TblImps[[#This Row],[Population]]</f>
        <v>0.99151823579304499</v>
      </c>
      <c r="Q115" s="178">
        <f ca="1">TblExplore[[#This Row],[Land]]</f>
        <v>250</v>
      </c>
      <c r="R115" s="178">
        <f>TblExplore[[#This Row],[Hour]]</f>
        <v>112</v>
      </c>
      <c r="S115" s="229"/>
      <c r="T115" s="182"/>
      <c r="U115" s="182"/>
      <c r="V115" s="182"/>
      <c r="W115" s="182"/>
      <c r="X115" s="182"/>
      <c r="Y115" s="182"/>
      <c r="Z115" s="182"/>
      <c r="AA115" s="162">
        <f ca="1">TblImps[[#This Row],[Real time]]</f>
        <v>44875.624999999731</v>
      </c>
      <c r="AB115" s="97">
        <f ca="1">TblMili[[#This Row],[Draftees]]</f>
        <v>100</v>
      </c>
      <c r="AC115" s="97">
        <f ca="1">TblProd[[#This Row],[Platinum]]</f>
        <v>724491</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25</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0.78508341511285573</v>
      </c>
      <c r="P116" s="228">
        <f ca="1">TblImps[[#This Row],[Population]]</f>
        <v>0.99151823579304499</v>
      </c>
      <c r="Q116" s="178">
        <f ca="1">TblExplore[[#This Row],[Land]]</f>
        <v>250</v>
      </c>
      <c r="R116" s="178">
        <f>TblExplore[[#This Row],[Hour]]</f>
        <v>113</v>
      </c>
      <c r="S116" s="229"/>
      <c r="T116" s="182"/>
      <c r="U116" s="182"/>
      <c r="V116" s="182"/>
      <c r="W116" s="182"/>
      <c r="X116" s="182"/>
      <c r="Y116" s="182"/>
      <c r="Z116" s="182"/>
      <c r="AA116" s="162">
        <f ca="1">TblImps[[#This Row],[Real time]]</f>
        <v>44875.666666666395</v>
      </c>
      <c r="AB116" s="97">
        <f ca="1">TblMili[[#This Row],[Draftees]]</f>
        <v>100</v>
      </c>
      <c r="AC116" s="97">
        <f ca="1">TblProd[[#This Row],[Platinum]]</f>
        <v>730161</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25</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0.78508341511285573</v>
      </c>
      <c r="P117" s="228">
        <f ca="1">TblImps[[#This Row],[Population]]</f>
        <v>0.99151823579304499</v>
      </c>
      <c r="Q117" s="178">
        <f ca="1">TblExplore[[#This Row],[Land]]</f>
        <v>250</v>
      </c>
      <c r="R117" s="178">
        <f>TblExplore[[#This Row],[Hour]]</f>
        <v>114</v>
      </c>
      <c r="S117" s="229"/>
      <c r="T117" s="182"/>
      <c r="U117" s="182"/>
      <c r="V117" s="182"/>
      <c r="W117" s="182"/>
      <c r="X117" s="182"/>
      <c r="Y117" s="182"/>
      <c r="Z117" s="182"/>
      <c r="AA117" s="162">
        <f ca="1">TblImps[[#This Row],[Real time]]</f>
        <v>44875.708333333059</v>
      </c>
      <c r="AB117" s="97">
        <f ca="1">TblMili[[#This Row],[Draftees]]</f>
        <v>100</v>
      </c>
      <c r="AC117" s="97">
        <f ca="1">TblProd[[#This Row],[Platinum]]</f>
        <v>735831</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25</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0.78508341511285573</v>
      </c>
      <c r="P118" s="228">
        <f ca="1">TblImps[[#This Row],[Population]]</f>
        <v>0.99151823579304499</v>
      </c>
      <c r="Q118" s="178">
        <f ca="1">TblExplore[[#This Row],[Land]]</f>
        <v>250</v>
      </c>
      <c r="R118" s="178">
        <f>TblExplore[[#This Row],[Hour]]</f>
        <v>115</v>
      </c>
      <c r="S118" s="229"/>
      <c r="T118" s="182"/>
      <c r="U118" s="182"/>
      <c r="V118" s="182"/>
      <c r="W118" s="182"/>
      <c r="X118" s="182"/>
      <c r="Y118" s="182"/>
      <c r="Z118" s="182"/>
      <c r="AA118" s="162">
        <f ca="1">TblImps[[#This Row],[Real time]]</f>
        <v>44875.749999999724</v>
      </c>
      <c r="AB118" s="97">
        <f ca="1">TblMili[[#This Row],[Draftees]]</f>
        <v>100</v>
      </c>
      <c r="AC118" s="97">
        <f ca="1">TblProd[[#This Row],[Platinum]]</f>
        <v>741501</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25</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0.78508341511285573</v>
      </c>
      <c r="P119" s="228">
        <f ca="1">TblImps[[#This Row],[Population]]</f>
        <v>0.99151823579304499</v>
      </c>
      <c r="Q119" s="178">
        <f ca="1">TblExplore[[#This Row],[Land]]</f>
        <v>250</v>
      </c>
      <c r="R119" s="178">
        <f>TblExplore[[#This Row],[Hour]]</f>
        <v>116</v>
      </c>
      <c r="S119" s="229"/>
      <c r="T119" s="182"/>
      <c r="U119" s="182"/>
      <c r="V119" s="182"/>
      <c r="W119" s="182"/>
      <c r="X119" s="182"/>
      <c r="Y119" s="182"/>
      <c r="Z119" s="182"/>
      <c r="AA119" s="162">
        <f ca="1">TblImps[[#This Row],[Real time]]</f>
        <v>44875.791666666388</v>
      </c>
      <c r="AB119" s="97">
        <f ca="1">TblMili[[#This Row],[Draftees]]</f>
        <v>100</v>
      </c>
      <c r="AC119" s="97">
        <f ca="1">TblProd[[#This Row],[Platinum]]</f>
        <v>747171</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25</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0.78508341511285573</v>
      </c>
      <c r="P120" s="228">
        <f ca="1">TblImps[[#This Row],[Population]]</f>
        <v>0.99151823579304499</v>
      </c>
      <c r="Q120" s="178">
        <f ca="1">TblExplore[[#This Row],[Land]]</f>
        <v>250</v>
      </c>
      <c r="R120" s="178">
        <f>TblExplore[[#This Row],[Hour]]</f>
        <v>117</v>
      </c>
      <c r="S120" s="229"/>
      <c r="T120" s="182"/>
      <c r="U120" s="182"/>
      <c r="V120" s="182"/>
      <c r="W120" s="182"/>
      <c r="X120" s="182"/>
      <c r="Y120" s="182"/>
      <c r="Z120" s="182"/>
      <c r="AA120" s="162">
        <f ca="1">TblImps[[#This Row],[Real time]]</f>
        <v>44875.833333333052</v>
      </c>
      <c r="AB120" s="97">
        <f ca="1">TblMili[[#This Row],[Draftees]]</f>
        <v>100</v>
      </c>
      <c r="AC120" s="97">
        <f ca="1">TblProd[[#This Row],[Platinum]]</f>
        <v>752841</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25</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0.78508341511285573</v>
      </c>
      <c r="P121" s="228">
        <f ca="1">TblImps[[#This Row],[Population]]</f>
        <v>0.99151823579304499</v>
      </c>
      <c r="Q121" s="178">
        <f ca="1">TblExplore[[#This Row],[Land]]</f>
        <v>250</v>
      </c>
      <c r="R121" s="178">
        <f>TblExplore[[#This Row],[Hour]]</f>
        <v>118</v>
      </c>
      <c r="S121" s="229"/>
      <c r="T121" s="182"/>
      <c r="U121" s="182"/>
      <c r="V121" s="182"/>
      <c r="W121" s="182"/>
      <c r="X121" s="182"/>
      <c r="Y121" s="182"/>
      <c r="Z121" s="182"/>
      <c r="AA121" s="162">
        <f ca="1">TblImps[[#This Row],[Real time]]</f>
        <v>44875.874999999716</v>
      </c>
      <c r="AB121" s="97">
        <f ca="1">TblMili[[#This Row],[Draftees]]</f>
        <v>100</v>
      </c>
      <c r="AC121" s="97">
        <f ca="1">TblProd[[#This Row],[Platinum]]</f>
        <v>758511</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25</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0.78508341511285573</v>
      </c>
      <c r="P122" s="228">
        <f ca="1">TblImps[[#This Row],[Population]]</f>
        <v>0.99151823579304499</v>
      </c>
      <c r="Q122" s="178">
        <f ca="1">TblExplore[[#This Row],[Land]]</f>
        <v>250</v>
      </c>
      <c r="R122" s="178">
        <f>TblExplore[[#This Row],[Hour]]</f>
        <v>119</v>
      </c>
      <c r="S122" s="229"/>
      <c r="T122" s="182"/>
      <c r="U122" s="182"/>
      <c r="V122" s="182"/>
      <c r="W122" s="182"/>
      <c r="X122" s="182"/>
      <c r="Y122" s="182"/>
      <c r="Z122" s="182"/>
      <c r="AA122" s="162">
        <f ca="1">TblImps[[#This Row],[Real time]]</f>
        <v>44875.91666666638</v>
      </c>
      <c r="AB122" s="97">
        <f ca="1">TblMili[[#This Row],[Draftees]]</f>
        <v>100</v>
      </c>
      <c r="AC122" s="97">
        <f ca="1">TblProd[[#This Row],[Platinum]]</f>
        <v>764181</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25</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0.78508341511285573</v>
      </c>
      <c r="P123" s="228">
        <f ca="1">TblImps[[#This Row],[Population]]</f>
        <v>0.99151823579304499</v>
      </c>
      <c r="Q123" s="178">
        <f ca="1">TblExplore[[#This Row],[Land]]</f>
        <v>250</v>
      </c>
      <c r="R123" s="178">
        <f>TblExplore[[#This Row],[Hour]]</f>
        <v>120</v>
      </c>
      <c r="S123" s="229"/>
      <c r="T123" s="182"/>
      <c r="U123" s="182"/>
      <c r="V123" s="182"/>
      <c r="W123" s="182"/>
      <c r="X123" s="182"/>
      <c r="Y123" s="182"/>
      <c r="Z123" s="182"/>
      <c r="AA123" s="162">
        <f ca="1">TblImps[[#This Row],[Real time]]</f>
        <v>44875.958333333045</v>
      </c>
      <c r="AB123" s="97">
        <f ca="1">TblMili[[#This Row],[Draftees]]</f>
        <v>100</v>
      </c>
      <c r="AC123" s="97">
        <f ca="1">TblProd[[#This Row],[Platinum]]</f>
        <v>769851</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25</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305</v>
      </c>
      <c r="M124" s="240" t="s">
        <v>308</v>
      </c>
      <c r="N124" s="228">
        <f ca="1">TblMili[[#This Row],[Smithies]]</f>
        <v>0</v>
      </c>
      <c r="O124" s="228">
        <f ca="1">TblPop[[#This Row],[Employment]]</f>
        <v>0.78508341511285573</v>
      </c>
      <c r="P124" s="228">
        <f ca="1">TblImps[[#This Row],[Population]]</f>
        <v>0.99151823579304499</v>
      </c>
      <c r="Q124" s="178">
        <f ca="1">TblExplore[[#This Row],[Land]]</f>
        <v>250</v>
      </c>
      <c r="R124" s="178">
        <f>TblExplore[[#This Row],[Hour]]</f>
        <v>121</v>
      </c>
      <c r="S124" s="229"/>
      <c r="T124" s="182"/>
      <c r="U124" s="182"/>
      <c r="V124" s="182"/>
      <c r="W124" s="182"/>
      <c r="X124" s="182"/>
      <c r="Y124" s="182"/>
      <c r="Z124" s="182"/>
      <c r="AA124" s="162">
        <f ca="1">TblImps[[#This Row],[Real time]]</f>
        <v>44875.999999999709</v>
      </c>
      <c r="AB124" s="97">
        <f ca="1">TblMili[[#This Row],[Draftees]]</f>
        <v>100</v>
      </c>
      <c r="AC124" s="97">
        <f ca="1">TblProd[[#This Row],[Platinum]]</f>
        <v>775521</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25</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0.78508341511285573</v>
      </c>
      <c r="P125" s="228">
        <f ca="1">TblImps[[#This Row],[Population]]</f>
        <v>0.99151823579304499</v>
      </c>
      <c r="Q125" s="178">
        <f ca="1">TblExplore[[#This Row],[Land]]</f>
        <v>250</v>
      </c>
      <c r="R125" s="178">
        <f>TblExplore[[#This Row],[Hour]]</f>
        <v>122</v>
      </c>
      <c r="S125" s="229"/>
      <c r="T125" s="182"/>
      <c r="U125" s="182"/>
      <c r="V125" s="182"/>
      <c r="W125" s="182"/>
      <c r="X125" s="182"/>
      <c r="Y125" s="182"/>
      <c r="Z125" s="182"/>
      <c r="AA125" s="162">
        <f ca="1">TblImps[[#This Row],[Real time]]</f>
        <v>44876.041666666373</v>
      </c>
      <c r="AB125" s="97">
        <f ca="1">TblMili[[#This Row],[Draftees]]</f>
        <v>100</v>
      </c>
      <c r="AC125" s="97">
        <f ca="1">TblProd[[#This Row],[Platinum]]</f>
        <v>781191</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25</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0.78508341511285573</v>
      </c>
      <c r="P126" s="228">
        <f ca="1">TblImps[[#This Row],[Population]]</f>
        <v>0.99151823579304499</v>
      </c>
      <c r="Q126" s="178">
        <f ca="1">TblExplore[[#This Row],[Land]]</f>
        <v>250</v>
      </c>
      <c r="R126" s="178">
        <f>TblExplore[[#This Row],[Hour]]</f>
        <v>123</v>
      </c>
      <c r="S126" s="229"/>
      <c r="T126" s="182"/>
      <c r="U126" s="182"/>
      <c r="V126" s="182"/>
      <c r="W126" s="182"/>
      <c r="X126" s="182"/>
      <c r="Y126" s="182"/>
      <c r="Z126" s="182"/>
      <c r="AA126" s="162">
        <f ca="1">TblImps[[#This Row],[Real time]]</f>
        <v>44876.083333333037</v>
      </c>
      <c r="AB126" s="97">
        <f ca="1">TblMili[[#This Row],[Draftees]]</f>
        <v>100</v>
      </c>
      <c r="AC126" s="97">
        <f ca="1">TblProd[[#This Row],[Platinum]]</f>
        <v>786861</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25</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0.78508341511285573</v>
      </c>
      <c r="P127" s="228">
        <f ca="1">TblImps[[#This Row],[Population]]</f>
        <v>0.99151823579304499</v>
      </c>
      <c r="Q127" s="178">
        <f ca="1">TblExplore[[#This Row],[Land]]</f>
        <v>250</v>
      </c>
      <c r="R127" s="178">
        <f>TblExplore[[#This Row],[Hour]]</f>
        <v>124</v>
      </c>
      <c r="S127" s="229"/>
      <c r="T127" s="182"/>
      <c r="U127" s="182"/>
      <c r="V127" s="182"/>
      <c r="W127" s="182"/>
      <c r="X127" s="182"/>
      <c r="Y127" s="182"/>
      <c r="Z127" s="182"/>
      <c r="AA127" s="162">
        <f ca="1">TblImps[[#This Row],[Real time]]</f>
        <v>44876.124999999702</v>
      </c>
      <c r="AB127" s="97">
        <f ca="1">TblMili[[#This Row],[Draftees]]</f>
        <v>100</v>
      </c>
      <c r="AC127" s="97">
        <f ca="1">TblProd[[#This Row],[Platinum]]</f>
        <v>792531</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25</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0.78508341511285573</v>
      </c>
      <c r="P128" s="228">
        <f ca="1">TblImps[[#This Row],[Population]]</f>
        <v>0.99151823579304499</v>
      </c>
      <c r="Q128" s="178">
        <f ca="1">TblExplore[[#This Row],[Land]]</f>
        <v>250</v>
      </c>
      <c r="R128" s="178">
        <f>TblExplore[[#This Row],[Hour]]</f>
        <v>125</v>
      </c>
      <c r="S128" s="229"/>
      <c r="T128" s="182"/>
      <c r="U128" s="182"/>
      <c r="V128" s="182"/>
      <c r="W128" s="182"/>
      <c r="X128" s="182"/>
      <c r="Y128" s="182"/>
      <c r="Z128" s="182"/>
      <c r="AA128" s="162">
        <f ca="1">TblImps[[#This Row],[Real time]]</f>
        <v>44876.166666666366</v>
      </c>
      <c r="AB128" s="97">
        <f ca="1">TblMili[[#This Row],[Draftees]]</f>
        <v>100</v>
      </c>
      <c r="AC128" s="97">
        <f ca="1">TblProd[[#This Row],[Platinum]]</f>
        <v>798201</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25</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0.78508341511285573</v>
      </c>
      <c r="P129" s="228">
        <f ca="1">TblImps[[#This Row],[Population]]</f>
        <v>0.99151823579304499</v>
      </c>
      <c r="Q129" s="178">
        <f ca="1">TblExplore[[#This Row],[Land]]</f>
        <v>250</v>
      </c>
      <c r="R129" s="178">
        <f>TblExplore[[#This Row],[Hour]]</f>
        <v>126</v>
      </c>
      <c r="S129" s="229"/>
      <c r="T129" s="182"/>
      <c r="U129" s="182"/>
      <c r="V129" s="182"/>
      <c r="W129" s="182"/>
      <c r="X129" s="182"/>
      <c r="Y129" s="182"/>
      <c r="Z129" s="182"/>
      <c r="AA129" s="162">
        <f ca="1">TblImps[[#This Row],[Real time]]</f>
        <v>44876.20833333303</v>
      </c>
      <c r="AB129" s="97">
        <f ca="1">TblMili[[#This Row],[Draftees]]</f>
        <v>100</v>
      </c>
      <c r="AC129" s="97">
        <f ca="1">TblProd[[#This Row],[Platinum]]</f>
        <v>803871</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25</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0.78508341511285573</v>
      </c>
      <c r="P130" s="228">
        <f ca="1">TblImps[[#This Row],[Population]]</f>
        <v>0.99151823579304499</v>
      </c>
      <c r="Q130" s="178">
        <f ca="1">TblExplore[[#This Row],[Land]]</f>
        <v>250</v>
      </c>
      <c r="R130" s="178">
        <f>TblExplore[[#This Row],[Hour]]</f>
        <v>127</v>
      </c>
      <c r="S130" s="229"/>
      <c r="T130" s="182"/>
      <c r="U130" s="182"/>
      <c r="V130" s="182"/>
      <c r="W130" s="182"/>
      <c r="X130" s="182"/>
      <c r="Y130" s="182"/>
      <c r="Z130" s="182"/>
      <c r="AA130" s="162">
        <f ca="1">TblImps[[#This Row],[Real time]]</f>
        <v>44876.249999999694</v>
      </c>
      <c r="AB130" s="97">
        <f ca="1">TblMili[[#This Row],[Draftees]]</f>
        <v>100</v>
      </c>
      <c r="AC130" s="97">
        <f ca="1">TblProd[[#This Row],[Platinum]]</f>
        <v>809541</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25</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0.78508341511285573</v>
      </c>
      <c r="P131" s="228">
        <f ca="1">TblImps[[#This Row],[Population]]</f>
        <v>0.99151823579304499</v>
      </c>
      <c r="Q131" s="178">
        <f ca="1">TblExplore[[#This Row],[Land]]</f>
        <v>250</v>
      </c>
      <c r="R131" s="178">
        <f>TblExplore[[#This Row],[Hour]]</f>
        <v>128</v>
      </c>
      <c r="S131" s="229"/>
      <c r="T131" s="182"/>
      <c r="U131" s="182"/>
      <c r="V131" s="182"/>
      <c r="W131" s="182"/>
      <c r="X131" s="182"/>
      <c r="Y131" s="182"/>
      <c r="Z131" s="182"/>
      <c r="AA131" s="162">
        <f ca="1">TblImps[[#This Row],[Real time]]</f>
        <v>44876.291666666359</v>
      </c>
      <c r="AB131" s="97">
        <f ca="1">TblMili[[#This Row],[Draftees]]</f>
        <v>100</v>
      </c>
      <c r="AC131" s="97">
        <f ca="1">TblProd[[#This Row],[Platinum]]</f>
        <v>815211</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25</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0.78508341511285573</v>
      </c>
      <c r="P132" s="228">
        <f ca="1">TblImps[[#This Row],[Population]]</f>
        <v>0.99151823579304499</v>
      </c>
      <c r="Q132" s="178">
        <f ca="1">TblExplore[[#This Row],[Land]]</f>
        <v>250</v>
      </c>
      <c r="R132" s="178">
        <f>TblExplore[[#This Row],[Hour]]</f>
        <v>129</v>
      </c>
      <c r="S132" s="229"/>
      <c r="T132" s="182"/>
      <c r="U132" s="182"/>
      <c r="V132" s="182"/>
      <c r="W132" s="182"/>
      <c r="X132" s="182"/>
      <c r="Y132" s="182"/>
      <c r="Z132" s="182"/>
      <c r="AA132" s="162">
        <f ca="1">TblImps[[#This Row],[Real time]]</f>
        <v>44876.333333333023</v>
      </c>
      <c r="AB132" s="97">
        <f ca="1">TblMili[[#This Row],[Draftees]]</f>
        <v>100</v>
      </c>
      <c r="AC132" s="97">
        <f ca="1">TblProd[[#This Row],[Platinum]]</f>
        <v>820881</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25</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0.78508341511285573</v>
      </c>
      <c r="P133" s="228">
        <f ca="1">TblImps[[#This Row],[Population]]</f>
        <v>0.99151823579304499</v>
      </c>
      <c r="Q133" s="178">
        <f ca="1">TblExplore[[#This Row],[Land]]</f>
        <v>250</v>
      </c>
      <c r="R133" s="178">
        <f>TblExplore[[#This Row],[Hour]]</f>
        <v>130</v>
      </c>
      <c r="S133" s="229"/>
      <c r="T133" s="182"/>
      <c r="U133" s="182"/>
      <c r="V133" s="182"/>
      <c r="W133" s="182"/>
      <c r="X133" s="182"/>
      <c r="Y133" s="182"/>
      <c r="Z133" s="182"/>
      <c r="AA133" s="162">
        <f ca="1">TblImps[[#This Row],[Real time]]</f>
        <v>44876.374999999687</v>
      </c>
      <c r="AB133" s="97">
        <f ca="1">TblMili[[#This Row],[Draftees]]</f>
        <v>100</v>
      </c>
      <c r="AC133" s="97">
        <f ca="1">TblProd[[#This Row],[Platinum]]</f>
        <v>826551</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25</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0.78508341511285573</v>
      </c>
      <c r="P134" s="228">
        <f ca="1">TblImps[[#This Row],[Population]]</f>
        <v>0.99151823579304499</v>
      </c>
      <c r="Q134" s="178">
        <f ca="1">TblExplore[[#This Row],[Land]]</f>
        <v>250</v>
      </c>
      <c r="R134" s="178">
        <f>TblExplore[[#This Row],[Hour]]</f>
        <v>131</v>
      </c>
      <c r="S134" s="229"/>
      <c r="T134" s="182"/>
      <c r="U134" s="182"/>
      <c r="V134" s="182"/>
      <c r="W134" s="182"/>
      <c r="X134" s="182"/>
      <c r="Y134" s="182"/>
      <c r="Z134" s="182"/>
      <c r="AA134" s="162">
        <f ca="1">TblImps[[#This Row],[Real time]]</f>
        <v>44876.416666666351</v>
      </c>
      <c r="AB134" s="97">
        <f ca="1">TblMili[[#This Row],[Draftees]]</f>
        <v>100</v>
      </c>
      <c r="AC134" s="97">
        <f ca="1">TblProd[[#This Row],[Platinum]]</f>
        <v>832221</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25</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0.78508341511285573</v>
      </c>
      <c r="P135" s="228">
        <f ca="1">TblImps[[#This Row],[Population]]</f>
        <v>0.99151823579304499</v>
      </c>
      <c r="Q135" s="178">
        <f ca="1">TblExplore[[#This Row],[Land]]</f>
        <v>250</v>
      </c>
      <c r="R135" s="178">
        <f>TblExplore[[#This Row],[Hour]]</f>
        <v>132</v>
      </c>
      <c r="S135" s="229"/>
      <c r="T135" s="182"/>
      <c r="U135" s="182"/>
      <c r="V135" s="182"/>
      <c r="W135" s="182"/>
      <c r="X135" s="182"/>
      <c r="Y135" s="182"/>
      <c r="Z135" s="182"/>
      <c r="AA135" s="162">
        <f ca="1">TblImps[[#This Row],[Real time]]</f>
        <v>44876.458333333016</v>
      </c>
      <c r="AB135" s="97">
        <f ca="1">TblMili[[#This Row],[Draftees]]</f>
        <v>100</v>
      </c>
      <c r="AC135" s="97">
        <f ca="1">TblProd[[#This Row],[Platinum]]</f>
        <v>837891</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25</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0.99151823579304499</v>
      </c>
      <c r="Q136" s="178">
        <f ca="1">TblExplore[[#This Row],[Land]]</f>
        <v>250</v>
      </c>
      <c r="R136" s="178">
        <f>TblExplore[[#This Row],[Hour]]</f>
        <v>133</v>
      </c>
      <c r="S136" s="229"/>
      <c r="T136" s="182"/>
      <c r="U136" s="182"/>
      <c r="V136" s="182"/>
      <c r="W136" s="182"/>
      <c r="X136" s="182"/>
      <c r="Y136" s="182"/>
      <c r="Z136" s="182"/>
      <c r="AA136" s="162">
        <f ca="1">TblImps[[#This Row],[Real time]]</f>
        <v>44876.49999999968</v>
      </c>
      <c r="AB136" s="97">
        <f ca="1">TblMili[[#This Row],[Draftees]]</f>
        <v>100</v>
      </c>
      <c r="AC136" s="97">
        <f ca="1">TblProd[[#This Row],[Platinum]]</f>
        <v>843561</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25</v>
      </c>
    </row>
    <row r="1269" spans="2:13" x14ac:dyDescent="0.2">
      <c r="B1269" s="490" t="s">
        <v>321</v>
      </c>
      <c r="C1269" s="490"/>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5" priority="13" stopIfTrue="1">
      <formula>$M26&lt;$M17</formula>
    </cfRule>
    <cfRule type="expression" dxfId="44" priority="14" stopIfTrue="1">
      <formula>$M17&lt;$M26</formula>
    </cfRule>
  </conditionalFormatting>
  <conditionalFormatting sqref="C1270 D1269:AJ1270 A1269:B1270">
    <cfRule type="expression" dxfId="43" priority="11" stopIfTrue="1">
      <formula>$B$1270&gt;144</formula>
    </cfRule>
  </conditionalFormatting>
  <conditionalFormatting sqref="A4:J136 N4:AJ136">
    <cfRule type="expression" dxfId="42" priority="1" stopIfTrue="1">
      <formula>ROW()-3=$B$1270</formula>
    </cfRule>
  </conditionalFormatting>
  <conditionalFormatting sqref="D4:J136">
    <cfRule type="expression" dxfId="41" priority="2" stopIfTrue="1">
      <formula>OR(ROW()-3=$B$1270,D4&lt;0)</formula>
    </cfRule>
  </conditionalFormatting>
  <conditionalFormatting sqref="A1:XFD3">
    <cfRule type="expression" dxfId="40" priority="16" stopIfTrue="1">
      <formula>$B$1270&lt;0</formula>
    </cfRule>
  </conditionalFormatting>
  <conditionalFormatting sqref="A4:AJ136">
    <cfRule type="expression" dxfId="39" priority="3">
      <formula>$A4=73</formula>
    </cfRule>
    <cfRule type="expression" dxfId="38"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182</v>
      </c>
      <c r="E3" s="138" t="s">
        <v>59</v>
      </c>
      <c r="F3" s="138" t="s">
        <v>60</v>
      </c>
      <c r="G3" s="138" t="s">
        <v>61</v>
      </c>
      <c r="H3" s="138" t="s">
        <v>62</v>
      </c>
      <c r="I3" s="138" t="s">
        <v>791</v>
      </c>
      <c r="J3" s="138" t="s">
        <v>0</v>
      </c>
      <c r="K3" s="138" t="s">
        <v>316</v>
      </c>
      <c r="L3" s="138" t="s">
        <v>1048</v>
      </c>
      <c r="M3" s="138" t="s">
        <v>1049</v>
      </c>
      <c r="N3" s="138" t="s">
        <v>1050</v>
      </c>
      <c r="O3" s="138" t="s">
        <v>1051</v>
      </c>
      <c r="P3" s="138" t="s">
        <v>1052</v>
      </c>
      <c r="Q3" s="138" t="s">
        <v>1053</v>
      </c>
      <c r="R3" s="138" t="s">
        <v>1054</v>
      </c>
      <c r="S3" s="138" t="s">
        <v>307</v>
      </c>
      <c r="T3" s="138" t="s">
        <v>199</v>
      </c>
      <c r="U3" s="138" t="s">
        <v>792</v>
      </c>
      <c r="V3" s="138" t="s">
        <v>2</v>
      </c>
      <c r="W3" s="138" t="s">
        <v>793</v>
      </c>
      <c r="X3" s="138" t="s">
        <v>57</v>
      </c>
      <c r="Y3" s="138" t="s">
        <v>920</v>
      </c>
      <c r="Z3" s="138" t="s">
        <v>808</v>
      </c>
      <c r="AA3" s="138" t="s">
        <v>265</v>
      </c>
      <c r="AB3" s="138" t="s">
        <v>809</v>
      </c>
      <c r="AC3" s="138" t="s">
        <v>195</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44871</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44871.041666666664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44871.083333333328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44871.124999999993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44871.166666666657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44871.208333333321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44871.249999999985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44871.29166666665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44871.333333333314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44871.374999999978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44871.416666666642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44871.458333333307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44871.499999999971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44871.541666666635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44871.583333333299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44871.624999999964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44871.666666666628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44871.708333333292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44871.749999999956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44871.791666666621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44871.833333333285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44871.874999999949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44871.916666666613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44871.958333333278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44871.999999999942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44872.041666666606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44872.08333333327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44872.124999999935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44872.166666666599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44872.208333333263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44872.249999999927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265221</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44872.291666666591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270891</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44872.333333333256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276561</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44872.37499999992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282231</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44872.416666666584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287901</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44872.458333333248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293571</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44872.499999999913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299241</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44872.541666666577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304911</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44872.583333333241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310581</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44872.624999999905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316251</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44872.66666666657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321921</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44872.708333333234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327591</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44872.749999999898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333261</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44872.791666666562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338931</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44872.833333333227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344601</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44872.874999999891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350271</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44872.916666666555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355941</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44872.958333333219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361611</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44872.999999999884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367281</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44873.041666666548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372951</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44873.083333333212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378621</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44873.124999999876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384291</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44873.166666666541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389961</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44873.208333333205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395631</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44873.249999999869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401301</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44873.291666666533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406971</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44873.333333333198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412641</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44873.374999999862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418311</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44873.416666666526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423981</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44873.45833333319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429651</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44873.499999999854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435321</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44873.541666666519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440991</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44873.583333333183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446661</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44873.624999999847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452331</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44873.666666666511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458001</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44873.708333333176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463671</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44873.74999999984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469341</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44873.791666666504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475011</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44873.833333333168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480681</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44873.874999999833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486351</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44873.916666666497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492021</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44873.958333333161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497691</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44873.999999999825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503361</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44874.04166666649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509031</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44874.083333333154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514701</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44874.124999999818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520371</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44874.166666666482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526041</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44874.208333333147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531711</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44874.249999999811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537381</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44874.291666666475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543051</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44874.333333333139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548721</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44874.374999999804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554391</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44874.416666666468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560061</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44874.458333333132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565731</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44874.499999999796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571401</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44874.541666666461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577071</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44874.583333333125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582741</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44874.624999999789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588411</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44874.666666666453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594081</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44874.708333333117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599751</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44874.749999999782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605421</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44874.791666666446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611091</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44874.83333333311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616761</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44874.874999999774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622431</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44874.916666666439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628101</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44874.958333333103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633771</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44874.999999999767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639441</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44875.041666666431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645111</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44875.083333333096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650781</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44875.12499999976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656451</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44875.166666666424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662121</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44875.208333333088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667791</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44875.249999999753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673461</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44875.291666666417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679131</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44875.333333333081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684801</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44875.374999999745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690471</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44875.41666666641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696141</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44875.458333333074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701811</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44875.499999999738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707481</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44875.541666666402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713151</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44875.583333333067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718821</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44875.624999999731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724491</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44875.666666666395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730161</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44875.708333333059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735831</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44875.749999999724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741501</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44875.791666666388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747171</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44875.833333333052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752841</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44875.874999999716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758511</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44875.91666666638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764181</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44875.958333333045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769851</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44875.999999999709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775521</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44876.041666666373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781191</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44876.083333333037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786861</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44876.124999999702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792531</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44876.166666666366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798201</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44876.20833333303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803871</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44876.249999999694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809541</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44876.291666666359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815211</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44876.333333333023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820881</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44876.374999999687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826551</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44876.416666666351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832221</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44876.458333333016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837891</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44876.49999999968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843561</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0" t="s">
        <v>321</v>
      </c>
      <c r="B1269" s="490"/>
      <c r="I1269" s="253" t="s">
        <v>311</v>
      </c>
      <c r="L1269" s="254"/>
      <c r="M1269" s="254">
        <v>-10</v>
      </c>
      <c r="N1269" s="254">
        <v>10</v>
      </c>
      <c r="O1269" s="254"/>
      <c r="P1269" s="254"/>
      <c r="Q1269" s="254"/>
      <c r="R1269" s="254"/>
    </row>
    <row r="1270" spans="1:18" x14ac:dyDescent="0.2">
      <c r="A1270" s="28">
        <f>Overview!E17</f>
        <v>0</v>
      </c>
      <c r="B1270" s="28"/>
      <c r="L1270" s="495" t="s">
        <v>310</v>
      </c>
      <c r="M1270" s="447"/>
      <c r="N1270" s="447"/>
      <c r="O1270" s="447"/>
      <c r="P1270" s="447"/>
      <c r="Q1270" s="447"/>
      <c r="R1270" s="447"/>
    </row>
  </sheetData>
  <mergeCells count="2">
    <mergeCell ref="L1270:R1270"/>
    <mergeCell ref="A1269:B1269"/>
  </mergeCells>
  <phoneticPr fontId="0" type="noConversion"/>
  <conditionalFormatting sqref="A1271:AC60158 A137:AC1268">
    <cfRule type="expression" dxfId="37" priority="14" stopIfTrue="1">
      <formula>ROW()-2=#REF!</formula>
    </cfRule>
  </conditionalFormatting>
  <conditionalFormatting sqref="A1269:AC1270">
    <cfRule type="expression" dxfId="36" priority="15" stopIfTrue="1">
      <formula>$A$1270&gt;144</formula>
    </cfRule>
  </conditionalFormatting>
  <conditionalFormatting sqref="A1:AC3">
    <cfRule type="expression" dxfId="35" priority="19" stopIfTrue="1">
      <formula>$A$1270&lt;0</formula>
    </cfRule>
  </conditionalFormatting>
  <conditionalFormatting sqref="A4:AC136">
    <cfRule type="expression" dxfId="34" priority="1" stopIfTrue="1">
      <formula>ROW()-3=$A$1270</formula>
    </cfRule>
    <cfRule type="expression" dxfId="33" priority="2" stopIfTrue="1">
      <formula>OR(AND(ROW()-3=$A$1270,A4="Ok",XFD4&lt;&gt;0),A4="Nope")</formula>
    </cfRule>
    <cfRule type="expression" dxfId="32" priority="4">
      <formula>$J4=73</formula>
    </cfRule>
    <cfRule type="expression" dxfId="31" priority="7">
      <formula>ROUND(($J4-1)/12,0)=INT($J4-1)/12</formula>
    </cfRule>
  </conditionalFormatting>
  <conditionalFormatting sqref="T76">
    <cfRule type="expression" dxfId="30" priority="13" stopIfTrue="1">
      <formula>S76=0</formula>
    </cfRule>
  </conditionalFormatting>
  <conditionalFormatting sqref="B4:H136">
    <cfRule type="cellIs" dxfId="29"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4.71093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0" x14ac:dyDescent="0.2">
      <c r="A1" s="5"/>
      <c r="B1" s="5"/>
      <c r="C1" s="5"/>
      <c r="D1" s="5"/>
      <c r="E1" s="5"/>
      <c r="F1" s="5"/>
      <c r="G1" s="5"/>
      <c r="H1" s="5"/>
      <c r="I1" s="5"/>
      <c r="J1" s="5"/>
      <c r="K1" s="5"/>
      <c r="L1" s="5"/>
      <c r="M1" s="5"/>
      <c r="N1" s="5"/>
      <c r="O1" s="5"/>
      <c r="P1" s="491" t="s">
        <v>31</v>
      </c>
      <c r="Q1" s="491"/>
      <c r="R1" s="491"/>
      <c r="S1" s="496" t="s">
        <v>481</v>
      </c>
      <c r="T1" s="491"/>
      <c r="U1" s="176"/>
      <c r="V1" s="491" t="s">
        <v>482</v>
      </c>
      <c r="W1" s="491"/>
      <c r="X1" s="5"/>
      <c r="Y1" s="491" t="s">
        <v>24</v>
      </c>
      <c r="Z1" s="491"/>
      <c r="AA1" s="491"/>
      <c r="AB1" s="28"/>
      <c r="AC1" s="5"/>
      <c r="AD1" s="5"/>
      <c r="AE1" s="5"/>
      <c r="AF1" s="5"/>
      <c r="AG1" s="5" t="s">
        <v>186</v>
      </c>
      <c r="AH1" s="5"/>
      <c r="AI1" s="5"/>
      <c r="AJ1" s="5"/>
      <c r="AK1" s="5"/>
      <c r="AL1" s="5"/>
      <c r="AM1" s="5"/>
      <c r="AN1" s="5"/>
      <c r="AO1" s="5"/>
      <c r="AP1" s="5" t="s">
        <v>77</v>
      </c>
      <c r="AQ1" s="5"/>
      <c r="AR1" s="5" t="s">
        <v>33</v>
      </c>
      <c r="AS1" s="5"/>
      <c r="AT1" s="5"/>
      <c r="AU1" s="5"/>
      <c r="AV1" s="5"/>
      <c r="AW1" s="5" t="s">
        <v>191</v>
      </c>
      <c r="AX1" s="5"/>
      <c r="AY1" s="5"/>
      <c r="AZ1" s="5"/>
      <c r="BA1" s="5"/>
      <c r="BB1" s="5"/>
      <c r="BC1" s="5"/>
      <c r="BD1" s="5"/>
      <c r="BE1" s="5"/>
      <c r="BF1" s="5"/>
      <c r="BG1" s="5"/>
      <c r="BH1" s="5"/>
      <c r="BI1" s="491" t="s">
        <v>497</v>
      </c>
      <c r="BJ1" s="491"/>
      <c r="BK1" s="491"/>
      <c r="BL1" s="491"/>
      <c r="BM1" s="491"/>
      <c r="BN1" s="491"/>
      <c r="BO1" s="491"/>
      <c r="BP1" s="491"/>
      <c r="BQ1" s="492"/>
      <c r="BR1" s="492"/>
      <c r="BS1" s="492"/>
      <c r="BT1" s="492"/>
      <c r="BU1" s="5"/>
      <c r="BV1" s="493" t="s">
        <v>303</v>
      </c>
      <c r="BW1" s="447"/>
      <c r="BX1" s="447"/>
      <c r="BY1" s="28"/>
      <c r="BZ1" s="28"/>
      <c r="CA1" s="5"/>
      <c r="CB1" s="5"/>
      <c r="CC1" s="28"/>
      <c r="CD1" s="28"/>
      <c r="CE1" s="28"/>
      <c r="CF1" s="28"/>
      <c r="CG1" s="28"/>
      <c r="CH1" s="28"/>
      <c r="CI1" s="28"/>
      <c r="CJ1" s="28"/>
      <c r="CK1" s="5"/>
      <c r="CL1" s="5"/>
      <c r="CM1" s="5"/>
      <c r="CN1" s="491" t="s">
        <v>317</v>
      </c>
      <c r="CO1" s="491"/>
      <c r="CP1" s="491"/>
      <c r="CQ1" s="492"/>
      <c r="CR1" s="492"/>
      <c r="CS1" s="492"/>
      <c r="CT1" s="492"/>
      <c r="CU1" s="492"/>
      <c r="CV1" s="492"/>
      <c r="CW1" s="57"/>
      <c r="CX1" s="57"/>
      <c r="CY1" s="57"/>
      <c r="CZ1" s="57"/>
      <c r="DA1" s="57"/>
      <c r="DB1" s="57"/>
      <c r="DC1" s="5"/>
      <c r="DD1" s="5"/>
      <c r="DE1" s="5" t="s">
        <v>259</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1117</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1117</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1117</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193</v>
      </c>
      <c r="D3" s="138" t="s">
        <v>791</v>
      </c>
      <c r="E3" s="138" t="s">
        <v>787</v>
      </c>
      <c r="F3" s="138" t="s">
        <v>788</v>
      </c>
      <c r="G3" s="138" t="s">
        <v>789</v>
      </c>
      <c r="H3" s="138" t="s">
        <v>790</v>
      </c>
      <c r="I3" s="138" t="s">
        <v>25</v>
      </c>
      <c r="J3" s="138" t="s">
        <v>1117</v>
      </c>
      <c r="K3" s="138" t="s">
        <v>26</v>
      </c>
      <c r="L3" s="138" t="s">
        <v>27</v>
      </c>
      <c r="M3" s="138" t="s">
        <v>792</v>
      </c>
      <c r="N3" s="138" t="s">
        <v>236</v>
      </c>
      <c r="O3" s="138" t="s">
        <v>793</v>
      </c>
      <c r="P3" s="138" t="s">
        <v>194</v>
      </c>
      <c r="Q3" s="138" t="s">
        <v>818</v>
      </c>
      <c r="R3" s="138" t="s">
        <v>233</v>
      </c>
      <c r="S3" s="258" t="s">
        <v>483</v>
      </c>
      <c r="T3" s="138" t="s">
        <v>480</v>
      </c>
      <c r="U3" s="138" t="s">
        <v>819</v>
      </c>
      <c r="V3" s="259" t="s">
        <v>887</v>
      </c>
      <c r="W3" s="138" t="s">
        <v>888</v>
      </c>
      <c r="X3" s="138" t="s">
        <v>1</v>
      </c>
      <c r="Y3" s="138" t="s">
        <v>185</v>
      </c>
      <c r="Z3" s="138" t="s">
        <v>184</v>
      </c>
      <c r="AA3" s="138" t="s">
        <v>24</v>
      </c>
      <c r="AB3" s="138" t="s">
        <v>808</v>
      </c>
      <c r="AC3" s="138" t="s">
        <v>189</v>
      </c>
      <c r="AD3" s="138" t="s">
        <v>809</v>
      </c>
      <c r="AE3" s="138" t="s">
        <v>873</v>
      </c>
      <c r="AF3" s="138" t="s">
        <v>316</v>
      </c>
      <c r="AG3" s="138" t="s">
        <v>802</v>
      </c>
      <c r="AH3" s="138" t="s">
        <v>803</v>
      </c>
      <c r="AI3" s="138" t="s">
        <v>804</v>
      </c>
      <c r="AJ3" s="138" t="s">
        <v>805</v>
      </c>
      <c r="AK3" s="138" t="s">
        <v>806</v>
      </c>
      <c r="AL3" s="138" t="s">
        <v>1116</v>
      </c>
      <c r="AM3" s="138" t="s">
        <v>807</v>
      </c>
      <c r="AN3" s="138" t="s">
        <v>1115</v>
      </c>
      <c r="AO3" s="138" t="s">
        <v>810</v>
      </c>
      <c r="AP3" s="138" t="s">
        <v>2</v>
      </c>
      <c r="AQ3" s="258" t="s">
        <v>1029</v>
      </c>
      <c r="AR3" s="138" t="s">
        <v>820</v>
      </c>
      <c r="AS3" s="258" t="s">
        <v>1030</v>
      </c>
      <c r="AT3" s="138" t="s">
        <v>1067</v>
      </c>
      <c r="AU3" s="138" t="s">
        <v>1069</v>
      </c>
      <c r="AV3" s="138" t="s">
        <v>795</v>
      </c>
      <c r="AW3" s="138" t="s">
        <v>811</v>
      </c>
      <c r="AX3" s="138" t="s">
        <v>812</v>
      </c>
      <c r="AY3" s="138" t="s">
        <v>813</v>
      </c>
      <c r="AZ3" s="138" t="s">
        <v>814</v>
      </c>
      <c r="BA3" s="138" t="s">
        <v>815</v>
      </c>
      <c r="BB3" s="138" t="s">
        <v>816</v>
      </c>
      <c r="BC3" s="138" t="s">
        <v>1118</v>
      </c>
      <c r="BD3" s="138" t="s">
        <v>817</v>
      </c>
      <c r="BE3" s="138" t="s">
        <v>1119</v>
      </c>
      <c r="BF3" s="138" t="s">
        <v>796</v>
      </c>
      <c r="BG3" s="138" t="s">
        <v>237</v>
      </c>
      <c r="BH3" s="138" t="s">
        <v>359</v>
      </c>
      <c r="BI3" s="138" t="s">
        <v>498</v>
      </c>
      <c r="BJ3" s="138" t="s">
        <v>499</v>
      </c>
      <c r="BK3" s="138" t="s">
        <v>500</v>
      </c>
      <c r="BL3" s="138" t="s">
        <v>501</v>
      </c>
      <c r="BM3" s="138" t="s">
        <v>502</v>
      </c>
      <c r="BN3" s="138" t="s">
        <v>503</v>
      </c>
      <c r="BO3" s="138" t="s">
        <v>504</v>
      </c>
      <c r="BP3" s="138" t="s">
        <v>505</v>
      </c>
      <c r="BQ3" s="138" t="s">
        <v>916</v>
      </c>
      <c r="BR3" s="138" t="s">
        <v>1120</v>
      </c>
      <c r="BS3" s="138" t="s">
        <v>917</v>
      </c>
      <c r="BT3" s="138" t="s">
        <v>918</v>
      </c>
      <c r="BU3" s="138" t="s">
        <v>919</v>
      </c>
      <c r="BV3" s="138" t="s">
        <v>250</v>
      </c>
      <c r="BW3" s="138" t="s">
        <v>302</v>
      </c>
      <c r="BX3" s="138" t="s">
        <v>125</v>
      </c>
      <c r="BY3" s="138" t="s">
        <v>1032</v>
      </c>
      <c r="BZ3" s="138" t="s">
        <v>1031</v>
      </c>
      <c r="CA3" s="138" t="s">
        <v>141</v>
      </c>
      <c r="CB3" s="138" t="s">
        <v>133</v>
      </c>
      <c r="CC3" s="138" t="s">
        <v>1096</v>
      </c>
      <c r="CD3" s="138" t="s">
        <v>1100</v>
      </c>
      <c r="CE3" s="138" t="s">
        <v>333</v>
      </c>
      <c r="CF3" s="138" t="s">
        <v>334</v>
      </c>
      <c r="CG3" s="138" t="s">
        <v>338</v>
      </c>
      <c r="CH3" s="138" t="s">
        <v>339</v>
      </c>
      <c r="CI3" s="138" t="s">
        <v>145</v>
      </c>
      <c r="CJ3" s="138" t="s">
        <v>507</v>
      </c>
      <c r="CK3" s="260" t="s">
        <v>797</v>
      </c>
      <c r="CL3" s="260" t="s">
        <v>798</v>
      </c>
      <c r="CM3" s="260" t="s">
        <v>799</v>
      </c>
      <c r="CN3" s="138" t="s">
        <v>1033</v>
      </c>
      <c r="CO3" s="138" t="s">
        <v>902</v>
      </c>
      <c r="CP3" s="138" t="s">
        <v>903</v>
      </c>
      <c r="CQ3" s="138" t="s">
        <v>904</v>
      </c>
      <c r="CR3" s="138" t="s">
        <v>905</v>
      </c>
      <c r="CS3" s="138" t="s">
        <v>906</v>
      </c>
      <c r="CT3" s="138" t="s">
        <v>907</v>
      </c>
      <c r="CU3" s="138" t="s">
        <v>908</v>
      </c>
      <c r="CV3" s="138" t="s">
        <v>909</v>
      </c>
      <c r="CW3" s="138" t="s">
        <v>910</v>
      </c>
      <c r="CX3" s="138" t="s">
        <v>911</v>
      </c>
      <c r="CY3" s="138" t="s">
        <v>912</v>
      </c>
      <c r="CZ3" s="260" t="s">
        <v>800</v>
      </c>
      <c r="DA3" s="138" t="s">
        <v>1107</v>
      </c>
      <c r="DB3" s="260" t="s">
        <v>801</v>
      </c>
      <c r="DC3" s="138" t="s">
        <v>913</v>
      </c>
      <c r="DD3" s="138" t="s">
        <v>1070</v>
      </c>
      <c r="DE3" s="138" t="s">
        <v>914</v>
      </c>
      <c r="DF3" s="138" t="s">
        <v>915</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44871</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44871</v>
      </c>
      <c r="AV4" s="97">
        <f ca="1">TblMili[[#This Row],[Draftees]]</f>
        <v>100</v>
      </c>
      <c r="AW4" s="161"/>
      <c r="AX4" s="182"/>
      <c r="AY4" s="182"/>
      <c r="AZ4" s="182"/>
      <c r="BA4" s="182"/>
      <c r="BB4" s="161"/>
      <c r="BC4" s="161"/>
      <c r="BD4" s="161"/>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1200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4]])*2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3</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300</v>
      </c>
      <c r="C5" s="160">
        <f ca="1">TblPop[[#This Row],[Military%]]</f>
        <v>0.18450184501845018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550</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550</v>
      </c>
      <c r="X5" s="262">
        <f ca="1">TblConstr[[#This Row],[Land]]</f>
        <v>250</v>
      </c>
      <c r="Y5" s="265"/>
      <c r="Z5" s="270">
        <f ca="1">IF(TblMili[[#This Row],[Set]]&lt;&gt;"",TblMili[[#This Row],[Set]],OFFSET(TblMili[[#This Row],[Draftrate]],-1,0))</f>
        <v>0.35</v>
      </c>
      <c r="AA5" s="97">
        <f ca="1">start_draftees - SUM(TblMili[[#This Row],[Train Unit 1]:[Train Spies]],TblMili[[#This Row],[Train Wiz]]) - TblMili[[#This Row],[Release Draft]] + SUM(TblMili[[#This Row],[Release Unit 1]:[Release AM]]) - TblExplore[[#This Row],[Draftees (2)]]+MIN(13,days_late)*days_late_draftees</f>
        <v>100</v>
      </c>
      <c r="AB5" s="157"/>
      <c r="AC5" s="183">
        <f ca="1">(TblConstr[[#This Row],[Tot Smi]]+TblConstr[[#This Row],[Dest Smi]])/(TblConstr[[#This Row],[Land]]-TblExplore[[#This Row],[Land Bonus]]*20)</f>
        <v>0</v>
      </c>
      <c r="AD5" s="140"/>
      <c r="AE5" s="261">
        <f>TblMili[[#This Row],[Hour]]</f>
        <v>2</v>
      </c>
      <c r="AF5" s="141">
        <f ca="1">TblExplore[[#This Row],[Time]]</f>
        <v>44871.041666666664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44871.041666666664</v>
      </c>
      <c r="AV5" s="97">
        <f ca="1">TblMili[[#This Row],[Draftees]]</f>
        <v>100</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1200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4]])*2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3</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300</v>
      </c>
      <c r="C6" s="160">
        <f ca="1">TblPop[[#This Row],[Military%]]</f>
        <v>0.18159806295399517</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550</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550</v>
      </c>
      <c r="X6" s="262">
        <f ca="1">TblConstr[[#This Row],[Land]]</f>
        <v>250</v>
      </c>
      <c r="Y6" s="265"/>
      <c r="Z6" s="270">
        <f ca="1">IF(TblMili[[#This Row],[Set]]&lt;&gt;"",TblMili[[#This Row],[Set]],OFFSET(TblMili[[#This Row],[Draftrate]],-1,0))</f>
        <v>0.35</v>
      </c>
      <c r="AA6" s="97">
        <f ca="1">start_draftees - SUM(TblMili[[#This Row],[Train Unit 1]:[Train Spies]],TblMili[[#This Row],[Train Wiz]]) - TblMili[[#This Row],[Release Draft]] + SUM(TblMili[[#This Row],[Release Unit 1]:[Release AM]]) - TblExplore[[#This Row],[Draftees (2)]]+MIN(13,days_late)*days_late_draftees</f>
        <v>100</v>
      </c>
      <c r="AB6" s="157"/>
      <c r="AC6" s="183">
        <f ca="1">(TblConstr[[#This Row],[Tot Smi]]+TblConstr[[#This Row],[Dest Smi]])/(TblConstr[[#This Row],[Land]]-TblExplore[[#This Row],[Land Bonus]]*20)</f>
        <v>0</v>
      </c>
      <c r="AD6" s="140"/>
      <c r="AE6" s="261">
        <f>TblMili[[#This Row],[Hour]]</f>
        <v>3</v>
      </c>
      <c r="AF6" s="141">
        <f ca="1">TblExplore[[#This Row],[Time]]</f>
        <v>44871.083333333328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44871.083333333328</v>
      </c>
      <c r="AV6" s="97">
        <f ca="1">TblMili[[#This Row],[Draftees]]</f>
        <v>100</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1200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4]])*2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3</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300</v>
      </c>
      <c r="C7" s="160">
        <f ca="1">TblPop[[#This Row],[Military%]]</f>
        <v>0.17878426698450536</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550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550</v>
      </c>
      <c r="X7" s="262">
        <f ca="1">TblConstr[[#This Row],[Land]]</f>
        <v>250</v>
      </c>
      <c r="Y7" s="265"/>
      <c r="Z7" s="270">
        <f ca="1">IF(TblMili[[#This Row],[Set]]&lt;&gt;"",TblMili[[#This Row],[Set]],OFFSET(TblMili[[#This Row],[Draftrate]],-1,0))</f>
        <v>0.35</v>
      </c>
      <c r="AA7" s="97">
        <f ca="1">start_draftees - SUM(TblMili[[#This Row],[Train Unit 1]:[Train Spies]],TblMili[[#This Row],[Train Wiz]]) - TblMili[[#This Row],[Release Draft]] + SUM(TblMili[[#This Row],[Release Unit 1]:[Release AM]]) - TblExplore[[#This Row],[Draftees (2)]]+MIN(13,days_late)*days_late_draftees</f>
        <v>100</v>
      </c>
      <c r="AB7" s="157"/>
      <c r="AC7" s="183">
        <f ca="1">(TblConstr[[#This Row],[Tot Smi]]+TblConstr[[#This Row],[Dest Smi]])/(TblConstr[[#This Row],[Land]]-TblExplore[[#This Row],[Land Bonus]]*20)</f>
        <v>0</v>
      </c>
      <c r="AD7" s="140"/>
      <c r="AE7" s="261">
        <f>TblMili[[#This Row],[Hour]]</f>
        <v>4</v>
      </c>
      <c r="AF7" s="141">
        <f ca="1">TblExplore[[#This Row],[Time]]</f>
        <v>44871.124999999993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44871.124999999993</v>
      </c>
      <c r="AV7" s="97">
        <f ca="1">TblMili[[#This Row],[Draftees]]</f>
        <v>100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1200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4]])*2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3</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300</v>
      </c>
      <c r="C8" s="160">
        <f ca="1">TblPop[[#This Row],[Military%]]</f>
        <v>0.17595307917888564</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550</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550</v>
      </c>
      <c r="X8" s="262">
        <f ca="1">TblConstr[[#This Row],[Land]]</f>
        <v>250</v>
      </c>
      <c r="Y8" s="265"/>
      <c r="Z8" s="270">
        <f ca="1">IF(TblMili[[#This Row],[Set]]&lt;&gt;"",TblMili[[#This Row],[Set]],OFFSET(TblMili[[#This Row],[Draftrate]],-1,0))</f>
        <v>0.35</v>
      </c>
      <c r="AA8" s="97">
        <f ca="1">start_draftees - SUM(TblMili[[#This Row],[Train Unit 1]:[Train Spies]],TblMili[[#This Row],[Train Wiz]]) - TblMili[[#This Row],[Release Draft]] + SUM(TblMili[[#This Row],[Release Unit 1]:[Release AM]]) - TblExplore[[#This Row],[Draftees (2)]]+MIN(13,days_late)*days_late_draftees</f>
        <v>100</v>
      </c>
      <c r="AB8" s="157"/>
      <c r="AC8" s="183">
        <f ca="1">(TblConstr[[#This Row],[Tot Smi]]+TblConstr[[#This Row],[Dest Smi]])/(TblConstr[[#This Row],[Land]]-TblExplore[[#This Row],[Land Bonus]]*20)</f>
        <v>0</v>
      </c>
      <c r="AD8" s="140"/>
      <c r="AE8" s="261">
        <f>TblMili[[#This Row],[Hour]]</f>
        <v>5</v>
      </c>
      <c r="AF8" s="141">
        <f ca="1">TblExplore[[#This Row],[Time]]</f>
        <v>44871.166666666657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44871.166666666657</v>
      </c>
      <c r="AV8" s="97">
        <f ca="1">TblMili[[#This Row],[Draftees]]</f>
        <v>100</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1200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4]])*2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3</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300</v>
      </c>
      <c r="C9" s="160">
        <f ca="1">TblPop[[#This Row],[Military%]]</f>
        <v>0.17311021350259664</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550</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550</v>
      </c>
      <c r="X9" s="262">
        <f ca="1">TblConstr[[#This Row],[Land]]</f>
        <v>250</v>
      </c>
      <c r="Y9" s="265"/>
      <c r="Z9" s="270">
        <f ca="1">IF(TblMili[[#This Row],[Set]]&lt;&gt;"",TblMili[[#This Row],[Set]],OFFSET(TblMili[[#This Row],[Draftrate]],-1,0))</f>
        <v>0.35</v>
      </c>
      <c r="AA9" s="97">
        <f ca="1">start_draftees - SUM(TblMili[[#This Row],[Train Unit 1]:[Train Spies]],TblMili[[#This Row],[Train Wiz]]) - TblMili[[#This Row],[Release Draft]] + SUM(TblMili[[#This Row],[Release Unit 1]:[Release AM]]) - TblExplore[[#This Row],[Draftees (2)]]+MIN(13,days_late)*days_late_draftees</f>
        <v>100</v>
      </c>
      <c r="AB9" s="157"/>
      <c r="AC9" s="183">
        <f ca="1">(TblConstr[[#This Row],[Tot Smi]]+TblConstr[[#This Row],[Dest Smi]])/(TblConstr[[#This Row],[Land]]-TblExplore[[#This Row],[Land Bonus]]*20)</f>
        <v>0</v>
      </c>
      <c r="AD9" s="140"/>
      <c r="AE9" s="261">
        <f>TblMili[[#This Row],[Hour]]</f>
        <v>6</v>
      </c>
      <c r="AF9" s="141">
        <f ca="1">TblExplore[[#This Row],[Time]]</f>
        <v>44871.208333333321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44871.208333333321</v>
      </c>
      <c r="AV9" s="97">
        <f ca="1">TblMili[[#This Row],[Draftees]]</f>
        <v>100</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1200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4]])*2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3</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300</v>
      </c>
      <c r="C10" s="160">
        <f ca="1">TblPop[[#This Row],[Military%]]</f>
        <v>0.170261066969353</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550</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550</v>
      </c>
      <c r="X10" s="262">
        <f ca="1">TblConstr[[#This Row],[Land]]</f>
        <v>250</v>
      </c>
      <c r="Y10" s="265"/>
      <c r="Z10" s="270">
        <f ca="1">IF(TblMili[[#This Row],[Set]]&lt;&gt;"",TblMili[[#This Row],[Set]],OFFSET(TblMili[[#This Row],[Draftrate]],-1,0))</f>
        <v>0.35</v>
      </c>
      <c r="AA10" s="97">
        <f ca="1">start_draftees - SUM(TblMili[[#This Row],[Train Unit 1]:[Train Spies]],TblMili[[#This Row],[Train Wiz]]) - TblMili[[#This Row],[Release Draft]] + SUM(TblMili[[#This Row],[Release Unit 1]:[Release AM]]) - TblExplore[[#This Row],[Draftees (2)]]+MIN(13,days_late)*days_late_draftees</f>
        <v>100</v>
      </c>
      <c r="AB10" s="157"/>
      <c r="AC10" s="183">
        <f ca="1">(TblConstr[[#This Row],[Tot Smi]]+TblConstr[[#This Row],[Dest Smi]])/(TblConstr[[#This Row],[Land]]-TblExplore[[#This Row],[Land Bonus]]*20)</f>
        <v>0</v>
      </c>
      <c r="AD10" s="140"/>
      <c r="AE10" s="261">
        <f>TblMili[[#This Row],[Hour]]</f>
        <v>7</v>
      </c>
      <c r="AF10" s="141">
        <f ca="1">TblExplore[[#This Row],[Time]]</f>
        <v>44871.249999999985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44871.249999999985</v>
      </c>
      <c r="AV10" s="97">
        <f ca="1">TblMili[[#This Row],[Draftees]]</f>
        <v>100</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1200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4]])*2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3</v>
      </c>
      <c r="CK10" s="267" t="s">
        <v>335</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300</v>
      </c>
      <c r="C11" s="160">
        <f ca="1">TblPop[[#This Row],[Military%]]</f>
        <v>0.16759776536312848</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550</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550</v>
      </c>
      <c r="X11" s="262">
        <f ca="1">TblConstr[[#This Row],[Land]]</f>
        <v>250</v>
      </c>
      <c r="Y11" s="265"/>
      <c r="Z11" s="270">
        <f ca="1">IF(TblMili[[#This Row],[Set]]&lt;&gt;"",TblMili[[#This Row],[Set]],OFFSET(TblMili[[#This Row],[Draftrate]],-1,0))</f>
        <v>0.35</v>
      </c>
      <c r="AA11" s="97">
        <f ca="1">start_draftees - SUM(TblMili[[#This Row],[Train Unit 1]:[Train Spies]],TblMili[[#This Row],[Train Wiz]]) - TblMili[[#This Row],[Release Draft]] + SUM(TblMili[[#This Row],[Release Unit 1]:[Release AM]]) - TblExplore[[#This Row],[Draftees (2)]]+MIN(13,days_late)*days_late_draftees</f>
        <v>100</v>
      </c>
      <c r="AB11" s="157"/>
      <c r="AC11" s="183">
        <f ca="1">(TblConstr[[#This Row],[Tot Smi]]+TblConstr[[#This Row],[Dest Smi]])/(TblConstr[[#This Row],[Land]]-TblExplore[[#This Row],[Land Bonus]]*20)</f>
        <v>0</v>
      </c>
      <c r="AD11" s="140"/>
      <c r="AE11" s="261">
        <f>TblMili[[#This Row],[Hour]]</f>
        <v>8</v>
      </c>
      <c r="AF11" s="141">
        <f ca="1">TblExplore[[#This Row],[Time]]</f>
        <v>44871.29166666665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44871.29166666665</v>
      </c>
      <c r="AV11" s="97">
        <f ca="1">TblMili[[#This Row],[Draftees]]</f>
        <v>100</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1200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4]])*2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3</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300</v>
      </c>
      <c r="C12" s="160">
        <f ca="1">TblPop[[#This Row],[Military%]]</f>
        <v>0.16492578339747113</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550</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550</v>
      </c>
      <c r="X12" s="262">
        <f ca="1">TblConstr[[#This Row],[Land]]</f>
        <v>250</v>
      </c>
      <c r="Y12" s="265"/>
      <c r="Z12" s="270">
        <f ca="1">IF(TblMili[[#This Row],[Set]]&lt;&gt;"",TblMili[[#This Row],[Set]],OFFSET(TblMili[[#This Row],[Draftrate]],-1,0))</f>
        <v>0.35</v>
      </c>
      <c r="AA12" s="97">
        <f ca="1">start_draftees - SUM(TblMili[[#This Row],[Train Unit 1]:[Train Spies]],TblMili[[#This Row],[Train Wiz]]) - TblMili[[#This Row],[Release Draft]] + SUM(TblMili[[#This Row],[Release Unit 1]:[Release AM]]) - TblExplore[[#This Row],[Draftees (2)]]+MIN(13,days_late)*days_late_draftees</f>
        <v>100</v>
      </c>
      <c r="AB12" s="157"/>
      <c r="AC12" s="183">
        <f ca="1">(TblConstr[[#This Row],[Tot Smi]]+TblConstr[[#This Row],[Dest Smi]])/(TblConstr[[#This Row],[Land]]-TblExplore[[#This Row],[Land Bonus]]*20)</f>
        <v>0</v>
      </c>
      <c r="AD12" s="140"/>
      <c r="AE12" s="261">
        <f>TblMili[[#This Row],[Hour]]</f>
        <v>9</v>
      </c>
      <c r="AF12" s="141">
        <f ca="1">TblExplore[[#This Row],[Time]]</f>
        <v>44871.333333333314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44871.333333333314</v>
      </c>
      <c r="AV12" s="97">
        <f ca="1">TblMili[[#This Row],[Draftees]]</f>
        <v>100</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1200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4]])*2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3</v>
      </c>
      <c r="CK12" s="267" t="s">
        <v>507</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300</v>
      </c>
      <c r="C13" s="160">
        <f ca="1">TblPop[[#This Row],[Military%]]</f>
        <v>0.16224986479177933</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550</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550</v>
      </c>
      <c r="X13" s="262">
        <f ca="1">TblConstr[[#This Row],[Land]]</f>
        <v>250</v>
      </c>
      <c r="Y13" s="265"/>
      <c r="Z13" s="270">
        <f ca="1">IF(TblMili[[#This Row],[Set]]&lt;&gt;"",TblMili[[#This Row],[Set]],OFFSET(TblMili[[#This Row],[Draftrate]],-1,0))</f>
        <v>0.35</v>
      </c>
      <c r="AA13" s="97">
        <f ca="1">start_draftees - SUM(TblMili[[#This Row],[Train Unit 1]:[Train Spies]],TblMili[[#This Row],[Train Wiz]]) - TblMili[[#This Row],[Release Draft]] + SUM(TblMili[[#This Row],[Release Unit 1]:[Release AM]]) - TblExplore[[#This Row],[Draftees (2)]]+MIN(13,days_late)*days_late_draftees</f>
        <v>100</v>
      </c>
      <c r="AB13" s="157"/>
      <c r="AC13" s="183">
        <f ca="1">(TblConstr[[#This Row],[Tot Smi]]+TblConstr[[#This Row],[Dest Smi]])/(TblConstr[[#This Row],[Land]]-TblExplore[[#This Row],[Land Bonus]]*20)</f>
        <v>0</v>
      </c>
      <c r="AD13" s="140"/>
      <c r="AE13" s="261">
        <f>TblMili[[#This Row],[Hour]]</f>
        <v>10</v>
      </c>
      <c r="AF13" s="141">
        <f ca="1">TblExplore[[#This Row],[Time]]</f>
        <v>44871.374999999978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44871.374999999978</v>
      </c>
      <c r="AV13" s="97">
        <f ca="1">TblMili[[#This Row],[Draftees]]</f>
        <v>100</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1200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4]])*2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3</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300</v>
      </c>
      <c r="C14" s="160">
        <f ca="1">TblPop[[#This Row],[Military%]]</f>
        <v>0.15957446808510639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550</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550</v>
      </c>
      <c r="X14" s="262">
        <f ca="1">TblConstr[[#This Row],[Land]]</f>
        <v>250</v>
      </c>
      <c r="Y14" s="265"/>
      <c r="Z14" s="270">
        <f ca="1">IF(TblMili[[#This Row],[Set]]&lt;&gt;"",TblMili[[#This Row],[Set]],OFFSET(TblMili[[#This Row],[Draftrate]],-1,0))</f>
        <v>0.35</v>
      </c>
      <c r="AA14" s="97">
        <f ca="1">start_draftees - SUM(TblMili[[#This Row],[Train Unit 1]:[Train Spies]],TblMili[[#This Row],[Train Wiz]]) - TblMili[[#This Row],[Release Draft]] + SUM(TblMili[[#This Row],[Release Unit 1]:[Release AM]]) - TblExplore[[#This Row],[Draftees (2)]]+MIN(13,days_late)*days_late_draftees</f>
        <v>100</v>
      </c>
      <c r="AB14" s="157"/>
      <c r="AC14" s="183">
        <f ca="1">(TblConstr[[#This Row],[Tot Smi]]+TblConstr[[#This Row],[Dest Smi]])/(TblConstr[[#This Row],[Land]]-TblExplore[[#This Row],[Land Bonus]]*20)</f>
        <v>0</v>
      </c>
      <c r="AD14" s="140"/>
      <c r="AE14" s="261">
        <f>TblMili[[#This Row],[Hour]]</f>
        <v>11</v>
      </c>
      <c r="AF14" s="141">
        <f ca="1">TblExplore[[#This Row],[Time]]</f>
        <v>44871.416666666642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44871.416666666642</v>
      </c>
      <c r="AV14" s="97">
        <f ca="1">TblMili[[#This Row],[Draftees]]</f>
        <v>100</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1200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4]])*2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3</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300</v>
      </c>
      <c r="C15" s="160">
        <f ca="1">TblPop[[#This Row],[Military%]]</f>
        <v>0.15698587127158556</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550</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550</v>
      </c>
      <c r="X15" s="262">
        <f ca="1">TblConstr[[#This Row],[Land]]</f>
        <v>250</v>
      </c>
      <c r="Y15" s="265"/>
      <c r="Z15" s="270">
        <f ca="1">IF(TblMili[[#This Row],[Set]]&lt;&gt;"",TblMili[[#This Row],[Set]],OFFSET(TblMili[[#This Row],[Draftrate]],-1,0))</f>
        <v>0.35</v>
      </c>
      <c r="AA15" s="97">
        <f ca="1">start_draftees - SUM(TblMili[[#This Row],[Train Unit 1]:[Train Spies]],TblMili[[#This Row],[Train Wiz]]) - TblMili[[#This Row],[Release Draft]] + SUM(TblMili[[#This Row],[Release Unit 1]:[Release AM]]) - TblExplore[[#This Row],[Draftees (2)]]+MIN(13,days_late)*days_late_draftees</f>
        <v>100</v>
      </c>
      <c r="AB15" s="157"/>
      <c r="AC15" s="183">
        <f ca="1">(TblConstr[[#This Row],[Tot Smi]]+TblConstr[[#This Row],[Dest Smi]])/(TblConstr[[#This Row],[Land]]-TblExplore[[#This Row],[Land Bonus]]*20)</f>
        <v>0</v>
      </c>
      <c r="AD15" s="140"/>
      <c r="AE15" s="261">
        <f>TblMili[[#This Row],[Hour]]</f>
        <v>12</v>
      </c>
      <c r="AF15" s="141">
        <f ca="1">TblExplore[[#This Row],[Time]]</f>
        <v>44871.458333333307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44871.458333333307</v>
      </c>
      <c r="AV15" s="97">
        <f ca="1">TblMili[[#This Row],[Draftees]]</f>
        <v>100</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1200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4]])*2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3</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300</v>
      </c>
      <c r="C16" s="160">
        <f ca="1">TblPop[[#This Row],[Military%]]</f>
        <v>0.15440041173443128</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550</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550</v>
      </c>
      <c r="X16" s="262">
        <f ca="1">TblConstr[[#This Row],[Land]]</f>
        <v>250</v>
      </c>
      <c r="Y16" s="265"/>
      <c r="Z16" s="270">
        <f ca="1">IF(TblMili[[#This Row],[Set]]&lt;&gt;"",TblMili[[#This Row],[Set]],OFFSET(TblMili[[#This Row],[Draftrate]],-1,0))</f>
        <v>0.35</v>
      </c>
      <c r="AA16" s="97">
        <f ca="1">start_draftees - SUM(TblMili[[#This Row],[Train Unit 1]:[Train Spies]],TblMili[[#This Row],[Train Wiz]]) - TblMili[[#This Row],[Release Draft]] + SUM(TblMili[[#This Row],[Release Unit 1]:[Release AM]]) - TblExplore[[#This Row],[Draftees (2)]]+MIN(13,days_late)*days_late_draftees</f>
        <v>100</v>
      </c>
      <c r="AB16" s="157"/>
      <c r="AC16" s="183">
        <f ca="1">(TblConstr[[#This Row],[Tot Smi]]+TblConstr[[#This Row],[Dest Smi]])/(TblConstr[[#This Row],[Land]]-TblExplore[[#This Row],[Land Bonus]]*20)</f>
        <v>0</v>
      </c>
      <c r="AD16" s="261"/>
      <c r="AE16" s="261">
        <f>TblMili[[#This Row],[Hour]]</f>
        <v>13</v>
      </c>
      <c r="AF16" s="141">
        <f ca="1">TblExplore[[#This Row],[Time]]</f>
        <v>44871.499999999971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44871.499999999971</v>
      </c>
      <c r="AV16" s="97">
        <f ca="1">TblMili[[#This Row],[Draftees]]</f>
        <v>100</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1200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4]])*2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3</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300</v>
      </c>
      <c r="C17" s="160">
        <f ca="1">TblPop[[#This Row],[Military%]]</f>
        <v>0.15182186234817813</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550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550</v>
      </c>
      <c r="X17" s="262">
        <f ca="1">TblConstr[[#This Row],[Land]]</f>
        <v>250</v>
      </c>
      <c r="Y17" s="265"/>
      <c r="Z17" s="270">
        <f ca="1">IF(TblMili[[#This Row],[Set]]&lt;&gt;"",TblMili[[#This Row],[Set]],OFFSET(TblMili[[#This Row],[Draftrate]],-1,0))</f>
        <v>0.35</v>
      </c>
      <c r="AA17" s="97">
        <f ca="1">start_draftees - SUM(TblMili[[#This Row],[Train Unit 1]:[Train Spies]],TblMili[[#This Row],[Train Wiz]]) - TblMili[[#This Row],[Release Draft]] + SUM(TblMili[[#This Row],[Release Unit 1]:[Release AM]]) - TblExplore[[#This Row],[Draftees (2)]]+MIN(13,days_late)*days_late_draftees</f>
        <v>100</v>
      </c>
      <c r="AB17" s="157"/>
      <c r="AC17" s="183">
        <f ca="1">(TblConstr[[#This Row],[Tot Smi]]+TblConstr[[#This Row],[Dest Smi]])/(TblConstr[[#This Row],[Land]]-TblExplore[[#This Row],[Land Bonus]]*20)</f>
        <v>0</v>
      </c>
      <c r="AD17" s="140"/>
      <c r="AE17" s="261">
        <f>TblMili[[#This Row],[Hour]]</f>
        <v>14</v>
      </c>
      <c r="AF17" s="141">
        <f ca="1">TblExplore[[#This Row],[Time]]</f>
        <v>44871.541666666635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44871.541666666635</v>
      </c>
      <c r="AV17" s="97">
        <f ca="1">TblMili[[#This Row],[Draftees]]</f>
        <v>100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1200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4]])*2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3</v>
      </c>
      <c r="CK17" s="267" t="s">
        <v>528</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300</v>
      </c>
      <c r="C18" s="160">
        <f ca="1">TblPop[[#This Row],[Military%]]</f>
        <v>0.14932802389248381</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550</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550</v>
      </c>
      <c r="X18" s="262">
        <f ca="1">TblConstr[[#This Row],[Land]]</f>
        <v>250</v>
      </c>
      <c r="Y18" s="265"/>
      <c r="Z18" s="270">
        <f ca="1">IF(TblMili[[#This Row],[Set]]&lt;&gt;"",TblMili[[#This Row],[Set]],OFFSET(TblMili[[#This Row],[Draftrate]],-1,0))</f>
        <v>0.35</v>
      </c>
      <c r="AA18" s="97">
        <f ca="1">start_draftees - SUM(TblMili[[#This Row],[Train Unit 1]:[Train Spies]],TblMili[[#This Row],[Train Wiz]]) - TblMili[[#This Row],[Release Draft]] + SUM(TblMili[[#This Row],[Release Unit 1]:[Release AM]]) - TblExplore[[#This Row],[Draftees (2)]]+MIN(13,days_late)*days_late_draftees</f>
        <v>100</v>
      </c>
      <c r="AB18" s="157"/>
      <c r="AC18" s="183">
        <f ca="1">(TblConstr[[#This Row],[Tot Smi]]+TblConstr[[#This Row],[Dest Smi]])/(TblConstr[[#This Row],[Land]]-TblExplore[[#This Row],[Land Bonus]]*20)</f>
        <v>0</v>
      </c>
      <c r="AD18" s="140"/>
      <c r="AE18" s="261">
        <f>TblMili[[#This Row],[Hour]]</f>
        <v>15</v>
      </c>
      <c r="AF18" s="141">
        <f ca="1">TblExplore[[#This Row],[Time]]</f>
        <v>44871.583333333299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44871.583333333299</v>
      </c>
      <c r="AV18" s="97">
        <f ca="1">TblMili[[#This Row],[Draftees]]</f>
        <v>100</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1200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4]])*2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3</v>
      </c>
      <c r="CK18" s="267" t="s">
        <v>529</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300</v>
      </c>
      <c r="C19" s="160">
        <f ca="1">TblPop[[#This Row],[Military%]]</f>
        <v>0.14684287812041116</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550</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550</v>
      </c>
      <c r="X19" s="262">
        <f ca="1">TblConstr[[#This Row],[Land]]</f>
        <v>250</v>
      </c>
      <c r="Y19" s="265"/>
      <c r="Z19" s="270">
        <f ca="1">IF(TblMili[[#This Row],[Set]]&lt;&gt;"",TblMili[[#This Row],[Set]],OFFSET(TblMili[[#This Row],[Draftrate]],-1,0))</f>
        <v>0.35</v>
      </c>
      <c r="AA19" s="97">
        <f ca="1">start_draftees - SUM(TblMili[[#This Row],[Train Unit 1]:[Train Spies]],TblMili[[#This Row],[Train Wiz]]) - TblMili[[#This Row],[Release Draft]] + SUM(TblMili[[#This Row],[Release Unit 1]:[Release AM]]) - TblExplore[[#This Row],[Draftees (2)]]+MIN(13,days_late)*days_late_draftees</f>
        <v>100</v>
      </c>
      <c r="AB19" s="157"/>
      <c r="AC19" s="183">
        <f ca="1">(TblConstr[[#This Row],[Tot Smi]]+TblConstr[[#This Row],[Dest Smi]])/(TblConstr[[#This Row],[Land]]-TblExplore[[#This Row],[Land Bonus]]*20)</f>
        <v>0</v>
      </c>
      <c r="AD19" s="140"/>
      <c r="AE19" s="261">
        <f>TblMili[[#This Row],[Hour]]</f>
        <v>16</v>
      </c>
      <c r="AF19" s="141">
        <f ca="1">TblExplore[[#This Row],[Time]]</f>
        <v>44871.624999999964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44871.624999999964</v>
      </c>
      <c r="AV19" s="97">
        <f ca="1">TblMili[[#This Row],[Draftees]]</f>
        <v>100</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1200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4]])*2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3</v>
      </c>
      <c r="CK19" s="267" t="s">
        <v>530</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300</v>
      </c>
      <c r="C20" s="160">
        <f ca="1">TblPop[[#This Row],[Military%]]</f>
        <v>0.14436958614051973</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550</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550</v>
      </c>
      <c r="X20" s="262">
        <f ca="1">TblConstr[[#This Row],[Land]]</f>
        <v>250</v>
      </c>
      <c r="Y20" s="265"/>
      <c r="Z20" s="270">
        <f ca="1">IF(TblMili[[#This Row],[Set]]&lt;&gt;"",TblMili[[#This Row],[Set]],OFFSET(TblMili[[#This Row],[Draftrate]],-1,0))</f>
        <v>0.35</v>
      </c>
      <c r="AA20" s="97">
        <f ca="1">start_draftees - SUM(TblMili[[#This Row],[Train Unit 1]:[Train Spies]],TblMili[[#This Row],[Train Wiz]]) - TblMili[[#This Row],[Release Draft]] + SUM(TblMili[[#This Row],[Release Unit 1]:[Release AM]]) - TblExplore[[#This Row],[Draftees (2)]]+MIN(13,days_late)*days_late_draftees</f>
        <v>100</v>
      </c>
      <c r="AB20" s="157"/>
      <c r="AC20" s="183">
        <f ca="1">(TblConstr[[#This Row],[Tot Smi]]+TblConstr[[#This Row],[Dest Smi]])/(TblConstr[[#This Row],[Land]]-TblExplore[[#This Row],[Land Bonus]]*20)</f>
        <v>0</v>
      </c>
      <c r="AD20" s="140"/>
      <c r="AE20" s="261">
        <f>TblMili[[#This Row],[Hour]]</f>
        <v>17</v>
      </c>
      <c r="AF20" s="141">
        <f ca="1">TblExplore[[#This Row],[Time]]</f>
        <v>44871.666666666628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44871.666666666628</v>
      </c>
      <c r="AV20" s="97">
        <f ca="1">TblMili[[#This Row],[Draftees]]</f>
        <v>100</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1200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4]])*2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3</v>
      </c>
      <c r="CK20" s="267" t="s">
        <v>532</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300</v>
      </c>
      <c r="C21" s="160">
        <f ca="1">TblPop[[#This Row],[Military%]]</f>
        <v>0.14197823000473261</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550</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550</v>
      </c>
      <c r="X21" s="262">
        <f ca="1">TblConstr[[#This Row],[Land]]</f>
        <v>250</v>
      </c>
      <c r="Y21" s="265"/>
      <c r="Z21" s="270">
        <f ca="1">IF(TblMili[[#This Row],[Set]]&lt;&gt;"",TblMili[[#This Row],[Set]],OFFSET(TblMili[[#This Row],[Draftrate]],-1,0))</f>
        <v>0.35</v>
      </c>
      <c r="AA21" s="97">
        <f ca="1">start_draftees - SUM(TblMili[[#This Row],[Train Unit 1]:[Train Spies]],TblMili[[#This Row],[Train Wiz]]) - TblMili[[#This Row],[Release Draft]] + SUM(TblMili[[#This Row],[Release Unit 1]:[Release AM]]) - TblExplore[[#This Row],[Draftees (2)]]+MIN(13,days_late)*days_late_draftees</f>
        <v>100</v>
      </c>
      <c r="AB21" s="157"/>
      <c r="AC21" s="183">
        <f ca="1">(TblConstr[[#This Row],[Tot Smi]]+TblConstr[[#This Row],[Dest Smi]])/(TblConstr[[#This Row],[Land]]-TblExplore[[#This Row],[Land Bonus]]*20)</f>
        <v>0</v>
      </c>
      <c r="AD21" s="140"/>
      <c r="AE21" s="261">
        <f>TblMili[[#This Row],[Hour]]</f>
        <v>18</v>
      </c>
      <c r="AF21" s="141">
        <f ca="1">TblExplore[[#This Row],[Time]]</f>
        <v>44871.708333333292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44871.708333333292</v>
      </c>
      <c r="AV21" s="97">
        <f ca="1">TblMili[[#This Row],[Draftees]]</f>
        <v>100</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1200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4]])*2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3</v>
      </c>
      <c r="CK21" s="267" t="s">
        <v>531</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300</v>
      </c>
      <c r="C22" s="160">
        <f ca="1">TblPop[[#This Row],[Military%]]</f>
        <v>0.13959981386691483</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550</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550</v>
      </c>
      <c r="X22" s="262">
        <f ca="1">TblConstr[[#This Row],[Land]]</f>
        <v>250</v>
      </c>
      <c r="Y22" s="265"/>
      <c r="Z22" s="270">
        <f ca="1">IF(TblMili[[#This Row],[Set]]&lt;&gt;"",TblMili[[#This Row],[Set]],OFFSET(TblMili[[#This Row],[Draftrate]],-1,0))</f>
        <v>0.35</v>
      </c>
      <c r="AA22" s="97">
        <f ca="1">start_draftees - SUM(TblMili[[#This Row],[Train Unit 1]:[Train Spies]],TblMili[[#This Row],[Train Wiz]]) - TblMili[[#This Row],[Release Draft]] + SUM(TblMili[[#This Row],[Release Unit 1]:[Release AM]]) - TblExplore[[#This Row],[Draftees (2)]]+MIN(13,days_late)*days_late_draftees</f>
        <v>100</v>
      </c>
      <c r="AB22" s="157"/>
      <c r="AC22" s="183">
        <f ca="1">(TblConstr[[#This Row],[Tot Smi]]+TblConstr[[#This Row],[Dest Smi]])/(TblConstr[[#This Row],[Land]]-TblExplore[[#This Row],[Land Bonus]]*20)</f>
        <v>0</v>
      </c>
      <c r="AD22" s="140"/>
      <c r="AE22" s="261">
        <f>TblMili[[#This Row],[Hour]]</f>
        <v>19</v>
      </c>
      <c r="AF22" s="141">
        <f ca="1">TblExplore[[#This Row],[Time]]</f>
        <v>44871.749999999956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44871.749999999956</v>
      </c>
      <c r="AV22" s="97">
        <f ca="1">TblMili[[#This Row],[Draftees]]</f>
        <v>100</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1200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4]])*2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3</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300</v>
      </c>
      <c r="C23" s="160">
        <f ca="1">TblPop[[#This Row],[Military%]]</f>
        <v>0.1372369624885636</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550</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550</v>
      </c>
      <c r="X23" s="262">
        <f ca="1">TblConstr[[#This Row],[Land]]</f>
        <v>250</v>
      </c>
      <c r="Y23" s="265"/>
      <c r="Z23" s="270">
        <f ca="1">IF(TblMili[[#This Row],[Set]]&lt;&gt;"",TblMili[[#This Row],[Set]],OFFSET(TblMili[[#This Row],[Draftrate]],-1,0))</f>
        <v>0.35</v>
      </c>
      <c r="AA23" s="97">
        <f ca="1">start_draftees - SUM(TblMili[[#This Row],[Train Unit 1]:[Train Spies]],TblMili[[#This Row],[Train Wiz]]) - TblMili[[#This Row],[Release Draft]] + SUM(TblMili[[#This Row],[Release Unit 1]:[Release AM]]) - TblExplore[[#This Row],[Draftees (2)]]+MIN(13,days_late)*days_late_draftees</f>
        <v>100</v>
      </c>
      <c r="AB23" s="157"/>
      <c r="AC23" s="183">
        <f ca="1">(TblConstr[[#This Row],[Tot Smi]]+TblConstr[[#This Row],[Dest Smi]])/(TblConstr[[#This Row],[Land]]-TblExplore[[#This Row],[Land Bonus]]*20)</f>
        <v>0</v>
      </c>
      <c r="AD23" s="140"/>
      <c r="AE23" s="261">
        <f>TblMili[[#This Row],[Hour]]</f>
        <v>20</v>
      </c>
      <c r="AF23" s="141">
        <f ca="1">TblExplore[[#This Row],[Time]]</f>
        <v>44871.791666666621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44871.791666666621</v>
      </c>
      <c r="AV23" s="97">
        <f ca="1">TblMili[[#This Row],[Draftees]]</f>
        <v>100</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1200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4]])*2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3</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300</v>
      </c>
      <c r="C24" s="160">
        <f ca="1">TblPop[[#This Row],[Military%]]</f>
        <v>0.1349527665317139</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550</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550</v>
      </c>
      <c r="X24" s="262">
        <f ca="1">TblConstr[[#This Row],[Land]]</f>
        <v>250</v>
      </c>
      <c r="Y24" s="265"/>
      <c r="Z24" s="270">
        <f ca="1">IF(TblMili[[#This Row],[Set]]&lt;&gt;"",TblMili[[#This Row],[Set]],OFFSET(TblMili[[#This Row],[Draftrate]],-1,0))</f>
        <v>0.35</v>
      </c>
      <c r="AA24" s="97">
        <f ca="1">start_draftees - SUM(TblMili[[#This Row],[Train Unit 1]:[Train Spies]],TblMili[[#This Row],[Train Wiz]]) - TblMili[[#This Row],[Release Draft]] + SUM(TblMili[[#This Row],[Release Unit 1]:[Release AM]]) - TblExplore[[#This Row],[Draftees (2)]]+MIN(13,days_late)*days_late_draftees</f>
        <v>100</v>
      </c>
      <c r="AB24" s="157"/>
      <c r="AC24" s="183">
        <f ca="1">(TblConstr[[#This Row],[Tot Smi]]+TblConstr[[#This Row],[Dest Smi]])/(TblConstr[[#This Row],[Land]]-TblExplore[[#This Row],[Land Bonus]]*20)</f>
        <v>0</v>
      </c>
      <c r="AD24" s="140"/>
      <c r="AE24" s="261">
        <f>TblMili[[#This Row],[Hour]]</f>
        <v>21</v>
      </c>
      <c r="AF24" s="141">
        <f ca="1">TblExplore[[#This Row],[Time]]</f>
        <v>44871.833333333285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44871.833333333285</v>
      </c>
      <c r="AV24" s="97">
        <f ca="1">TblMili[[#This Row],[Draftees]]</f>
        <v>100</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1200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4]])*2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3</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300</v>
      </c>
      <c r="C25" s="160">
        <f ca="1">TblPop[[#This Row],[Military%]]</f>
        <v>0.13268465280849182</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550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550</v>
      </c>
      <c r="X25" s="262">
        <f ca="1">TblConstr[[#This Row],[Land]]</f>
        <v>250</v>
      </c>
      <c r="Y25" s="265"/>
      <c r="Z25" s="270">
        <f ca="1">IF(TblMili[[#This Row],[Set]]&lt;&gt;"",TblMili[[#This Row],[Set]],OFFSET(TblMili[[#This Row],[Draftrate]],-1,0))</f>
        <v>0.35</v>
      </c>
      <c r="AA25" s="97">
        <f ca="1">start_draftees - SUM(TblMili[[#This Row],[Train Unit 1]:[Train Spies]],TblMili[[#This Row],[Train Wiz]]) - TblMili[[#This Row],[Release Draft]] + SUM(TblMili[[#This Row],[Release Unit 1]:[Release AM]]) - TblExplore[[#This Row],[Draftees (2)]]+MIN(13,days_late)*days_late_draftees</f>
        <v>100</v>
      </c>
      <c r="AB25" s="157"/>
      <c r="AC25" s="183">
        <f ca="1">(TblConstr[[#This Row],[Tot Smi]]+TblConstr[[#This Row],[Dest Smi]])/(TblConstr[[#This Row],[Land]]-TblExplore[[#This Row],[Land Bonus]]*20)</f>
        <v>0</v>
      </c>
      <c r="AD25" s="140"/>
      <c r="AE25" s="261">
        <f>TblMili[[#This Row],[Hour]]</f>
        <v>22</v>
      </c>
      <c r="AF25" s="141">
        <f ca="1">TblExplore[[#This Row],[Time]]</f>
        <v>44871.874999999949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44871.874999999949</v>
      </c>
      <c r="AV25" s="97">
        <f ca="1">TblMili[[#This Row],[Draftees]]</f>
        <v>100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1200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4]])*2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3</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300</v>
      </c>
      <c r="C26" s="160">
        <f ca="1">TblPop[[#This Row],[Military%]]</f>
        <v>0.13049151805132667</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550</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550</v>
      </c>
      <c r="X26" s="262">
        <f ca="1">TblConstr[[#This Row],[Land]]</f>
        <v>250</v>
      </c>
      <c r="Y26" s="265"/>
      <c r="Z26" s="270">
        <f ca="1">IF(TblMili[[#This Row],[Set]]&lt;&gt;"",TblMili[[#This Row],[Set]],OFFSET(TblMili[[#This Row],[Draftrate]],-1,0))</f>
        <v>0.35</v>
      </c>
      <c r="AA26" s="97">
        <f ca="1">start_draftees - SUM(TblMili[[#This Row],[Train Unit 1]:[Train Spies]],TblMili[[#This Row],[Train Wiz]]) - TblMili[[#This Row],[Release Draft]] + SUM(TblMili[[#This Row],[Release Unit 1]:[Release AM]]) - TblExplore[[#This Row],[Draftees (2)]]+MIN(13,days_late)*days_late_draftees</f>
        <v>100</v>
      </c>
      <c r="AB26" s="157"/>
      <c r="AC26" s="183">
        <f ca="1">(TblConstr[[#This Row],[Tot Smi]]+TblConstr[[#This Row],[Dest Smi]])/(TblConstr[[#This Row],[Land]]-TblExplore[[#This Row],[Land Bonus]]*20)</f>
        <v>0</v>
      </c>
      <c r="AD26" s="140"/>
      <c r="AE26" s="261">
        <f>TblMili[[#This Row],[Hour]]</f>
        <v>23</v>
      </c>
      <c r="AF26" s="141">
        <f ca="1">TblExplore[[#This Row],[Time]]</f>
        <v>44871.916666666613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44871.916666666613</v>
      </c>
      <c r="AV26" s="97">
        <f ca="1">TblMili[[#This Row],[Draftees]]</f>
        <v>100</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1200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4]])*2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3</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300</v>
      </c>
      <c r="C27" s="160">
        <f ca="1">TblPop[[#This Row],[Military%]]</f>
        <v>0.12831479897348161</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550</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550</v>
      </c>
      <c r="X27" s="262">
        <f ca="1">TblConstr[[#This Row],[Land]]</f>
        <v>250</v>
      </c>
      <c r="Y27" s="265"/>
      <c r="Z27" s="270">
        <f ca="1">IF(TblMili[[#This Row],[Set]]&lt;&gt;"",TblMili[[#This Row],[Set]],OFFSET(TblMili[[#This Row],[Draftrate]],-1,0))</f>
        <v>0.35</v>
      </c>
      <c r="AA27" s="97">
        <f ca="1">start_draftees - SUM(TblMili[[#This Row],[Train Unit 1]:[Train Spies]],TblMili[[#This Row],[Train Wiz]]) - TblMili[[#This Row],[Release Draft]] + SUM(TblMili[[#This Row],[Release Unit 1]:[Release AM]]) - TblExplore[[#This Row],[Draftees (2)]]+MIN(13,days_late)*days_late_draftees</f>
        <v>100</v>
      </c>
      <c r="AB27" s="157"/>
      <c r="AC27" s="183">
        <f ca="1">(TblConstr[[#This Row],[Tot Smi]]+TblConstr[[#This Row],[Dest Smi]])/(TblConstr[[#This Row],[Land]]-TblExplore[[#This Row],[Land Bonus]]*20)</f>
        <v>0</v>
      </c>
      <c r="AD27" s="140"/>
      <c r="AE27" s="261">
        <f>TblMili[[#This Row],[Hour]]</f>
        <v>24</v>
      </c>
      <c r="AF27" s="141">
        <f ca="1">TblExplore[[#This Row],[Time]]</f>
        <v>44871.958333333278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44871.958333333278</v>
      </c>
      <c r="AV27" s="97">
        <f ca="1">TblMili[[#This Row],[Draftees]]</f>
        <v>100</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1200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4]])*2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3</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300</v>
      </c>
      <c r="C28" s="160">
        <f ca="1">TblPop[[#This Row],[Military%]]</f>
        <v>0.12831479897348161</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550</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550</v>
      </c>
      <c r="X28" s="262">
        <f ca="1">TblConstr[[#This Row],[Land]]</f>
        <v>250</v>
      </c>
      <c r="Y28" s="265"/>
      <c r="Z28" s="270">
        <f ca="1">IF(TblMili[[#This Row],[Set]]&lt;&gt;"",TblMili[[#This Row],[Set]],OFFSET(TblMili[[#This Row],[Draftrate]],-1,0))</f>
        <v>0.35</v>
      </c>
      <c r="AA28" s="97">
        <f ca="1">start_draftees - SUM(TblMili[[#This Row],[Train Unit 1]:[Train Spies]],TblMili[[#This Row],[Train Wiz]]) - TblMili[[#This Row],[Release Draft]] + SUM(TblMili[[#This Row],[Release Unit 1]:[Release AM]]) - TblExplore[[#This Row],[Draftees (2)]]+MIN(13,days_late)*days_late_draftees</f>
        <v>100</v>
      </c>
      <c r="AB28" s="157"/>
      <c r="AC28" s="183">
        <f ca="1">(TblConstr[[#This Row],[Tot Smi]]+TblConstr[[#This Row],[Dest Smi]])/(TblConstr[[#This Row],[Land]]-TblExplore[[#This Row],[Land Bonus]]*20)</f>
        <v>0</v>
      </c>
      <c r="AD28" s="140"/>
      <c r="AE28" s="261">
        <f>TblMili[[#This Row],[Hour]]</f>
        <v>25</v>
      </c>
      <c r="AF28" s="141">
        <f ca="1">TblExplore[[#This Row],[Time]]</f>
        <v>44871.999999999942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44871.999999999942</v>
      </c>
      <c r="AV28" s="97">
        <f ca="1">TblMili[[#This Row],[Draftees]]</f>
        <v>100</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1200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4]])*2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3</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300</v>
      </c>
      <c r="C29" s="160">
        <f ca="1">TblPop[[#This Row],[Military%]]</f>
        <v>0.12831479897348161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550</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550</v>
      </c>
      <c r="X29" s="262">
        <f ca="1">TblConstr[[#This Row],[Land]]</f>
        <v>250</v>
      </c>
      <c r="Y29" s="265"/>
      <c r="Z29" s="270">
        <f ca="1">IF(TblMili[[#This Row],[Set]]&lt;&gt;"",TblMili[[#This Row],[Set]],OFFSET(TblMili[[#This Row],[Draftrate]],-1,0))</f>
        <v>0.35</v>
      </c>
      <c r="AA29" s="97">
        <f ca="1">start_draftees - SUM(TblMili[[#This Row],[Train Unit 1]:[Train Spies]],TblMili[[#This Row],[Train Wiz]]) - TblMili[[#This Row],[Release Draft]] + SUM(TblMili[[#This Row],[Release Unit 1]:[Release AM]]) - TblExplore[[#This Row],[Draftees (2)]]+MIN(13,days_late)*days_late_draftees</f>
        <v>100</v>
      </c>
      <c r="AB29" s="157"/>
      <c r="AC29" s="183">
        <f ca="1">(TblConstr[[#This Row],[Tot Smi]]+TblConstr[[#This Row],[Dest Smi]])/(TblConstr[[#This Row],[Land]]-TblExplore[[#This Row],[Land Bonus]]*20)</f>
        <v>0</v>
      </c>
      <c r="AD29" s="140"/>
      <c r="AE29" s="261">
        <f>TblMili[[#This Row],[Hour]]</f>
        <v>26</v>
      </c>
      <c r="AF29" s="141">
        <f ca="1">TblExplore[[#This Row],[Time]]</f>
        <v>44872.041666666606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44872.041666666606</v>
      </c>
      <c r="AV29" s="97">
        <f ca="1">TblMili[[#This Row],[Draftees]]</f>
        <v>100</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1200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4]])*2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3</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300</v>
      </c>
      <c r="C30" s="160">
        <f ca="1">TblPop[[#This Row],[Military%]]</f>
        <v>0.12831479897348161</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550</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550</v>
      </c>
      <c r="X30" s="262">
        <f ca="1">TblConstr[[#This Row],[Land]]</f>
        <v>250</v>
      </c>
      <c r="Y30" s="265"/>
      <c r="Z30" s="270">
        <f ca="1">IF(TblMili[[#This Row],[Set]]&lt;&gt;"",TblMili[[#This Row],[Set]],OFFSET(TblMili[[#This Row],[Draftrate]],-1,0))</f>
        <v>0.35</v>
      </c>
      <c r="AA30" s="97">
        <f ca="1">start_draftees - SUM(TblMili[[#This Row],[Train Unit 1]:[Train Spies]],TblMili[[#This Row],[Train Wiz]]) - TblMili[[#This Row],[Release Draft]] + SUM(TblMili[[#This Row],[Release Unit 1]:[Release AM]]) - TblExplore[[#This Row],[Draftees (2)]]+MIN(13,days_late)*days_late_draftees</f>
        <v>100</v>
      </c>
      <c r="AB30" s="157"/>
      <c r="AC30" s="183">
        <f ca="1">(TblConstr[[#This Row],[Tot Smi]]+TblConstr[[#This Row],[Dest Smi]])/(TblConstr[[#This Row],[Land]]-TblExplore[[#This Row],[Land Bonus]]*20)</f>
        <v>0</v>
      </c>
      <c r="AD30" s="140"/>
      <c r="AE30" s="261">
        <f>TblMili[[#This Row],[Hour]]</f>
        <v>27</v>
      </c>
      <c r="AF30" s="141">
        <f ca="1">TblExplore[[#This Row],[Time]]</f>
        <v>44872.08333333327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44872.08333333327</v>
      </c>
      <c r="AV30" s="97">
        <f ca="1">TblMili[[#This Row],[Draftees]]</f>
        <v>100</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1200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4]])*2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3</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300</v>
      </c>
      <c r="C31" s="160">
        <f ca="1">TblPop[[#This Row],[Military%]]</f>
        <v>0.12831479897348161</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550</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550</v>
      </c>
      <c r="X31" s="262">
        <f ca="1">TblConstr[[#This Row],[Land]]</f>
        <v>250</v>
      </c>
      <c r="Y31" s="265"/>
      <c r="Z31" s="270">
        <f ca="1">IF(TblMili[[#This Row],[Set]]&lt;&gt;"",TblMili[[#This Row],[Set]],OFFSET(TblMili[[#This Row],[Draftrate]],-1,0))</f>
        <v>0.35</v>
      </c>
      <c r="AA31" s="97">
        <f ca="1">start_draftees - SUM(TblMili[[#This Row],[Train Unit 1]:[Train Spies]],TblMili[[#This Row],[Train Wiz]]) - TblMili[[#This Row],[Release Draft]] + SUM(TblMili[[#This Row],[Release Unit 1]:[Release AM]]) - TblExplore[[#This Row],[Draftees (2)]]+MIN(13,days_late)*days_late_draftees</f>
        <v>100</v>
      </c>
      <c r="AB31" s="157"/>
      <c r="AC31" s="183">
        <f ca="1">(TblConstr[[#This Row],[Tot Smi]]+TblConstr[[#This Row],[Dest Smi]])/(TblConstr[[#This Row],[Land]]-TblExplore[[#This Row],[Land Bonus]]*20)</f>
        <v>0</v>
      </c>
      <c r="AD31" s="140"/>
      <c r="AE31" s="261">
        <f>TblMili[[#This Row],[Hour]]</f>
        <v>28</v>
      </c>
      <c r="AF31" s="141">
        <f ca="1">TblExplore[[#This Row],[Time]]</f>
        <v>44872.124999999935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44872.124999999935</v>
      </c>
      <c r="AV31" s="97">
        <f ca="1">TblMili[[#This Row],[Draftees]]</f>
        <v>100</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1200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4]])*2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3</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300</v>
      </c>
      <c r="C32" s="160">
        <f ca="1">TblPop[[#This Row],[Military%]]</f>
        <v>0.12831479897348161</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550</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550</v>
      </c>
      <c r="X32" s="262">
        <f ca="1">TblConstr[[#This Row],[Land]]</f>
        <v>250</v>
      </c>
      <c r="Y32" s="265"/>
      <c r="Z32" s="270">
        <f ca="1">IF(TblMili[[#This Row],[Set]]&lt;&gt;"",TblMili[[#This Row],[Set]],OFFSET(TblMili[[#This Row],[Draftrate]],-1,0))</f>
        <v>0.35</v>
      </c>
      <c r="AA32" s="97">
        <f ca="1">start_draftees - SUM(TblMili[[#This Row],[Train Unit 1]:[Train Spies]],TblMili[[#This Row],[Train Wiz]]) - TblMili[[#This Row],[Release Draft]] + SUM(TblMili[[#This Row],[Release Unit 1]:[Release AM]]) - TblExplore[[#This Row],[Draftees (2)]]+MIN(13,days_late)*days_late_draftees</f>
        <v>100</v>
      </c>
      <c r="AB32" s="157"/>
      <c r="AC32" s="183">
        <f ca="1">(TblConstr[[#This Row],[Tot Smi]]+TblConstr[[#This Row],[Dest Smi]])/(TblConstr[[#This Row],[Land]]-TblExplore[[#This Row],[Land Bonus]]*20)</f>
        <v>0</v>
      </c>
      <c r="AD32" s="140"/>
      <c r="AE32" s="261">
        <f>TblMili[[#This Row],[Hour]]</f>
        <v>29</v>
      </c>
      <c r="AF32" s="141">
        <f ca="1">TblExplore[[#This Row],[Time]]</f>
        <v>44872.166666666599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44872.166666666599</v>
      </c>
      <c r="AV32" s="97">
        <f ca="1">TblMili[[#This Row],[Draftees]]</f>
        <v>100</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1200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4]])*2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3</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300</v>
      </c>
      <c r="C33" s="160">
        <f ca="1">TblPop[[#This Row],[Military%]]</f>
        <v>0.12831479897348161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550</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550</v>
      </c>
      <c r="X33" s="262">
        <f ca="1">TblConstr[[#This Row],[Land]]</f>
        <v>250</v>
      </c>
      <c r="Y33" s="265"/>
      <c r="Z33" s="270">
        <f ca="1">IF(TblMili[[#This Row],[Set]]&lt;&gt;"",TblMili[[#This Row],[Set]],OFFSET(TblMili[[#This Row],[Draftrate]],-1,0))</f>
        <v>0.35</v>
      </c>
      <c r="AA33" s="97">
        <f ca="1">start_draftees - SUM(TblMili[[#This Row],[Train Unit 1]:[Train Spies]],TblMili[[#This Row],[Train Wiz]]) - TblMili[[#This Row],[Release Draft]] + SUM(TblMili[[#This Row],[Release Unit 1]:[Release AM]]) - TblExplore[[#This Row],[Draftees (2)]]+MIN(13,days_late)*days_late_draftees</f>
        <v>100</v>
      </c>
      <c r="AB33" s="157"/>
      <c r="AC33" s="183">
        <f ca="1">(TblConstr[[#This Row],[Tot Smi]]+TblConstr[[#This Row],[Dest Smi]])/(TblConstr[[#This Row],[Land]]-TblExplore[[#This Row],[Land Bonus]]*20)</f>
        <v>0</v>
      </c>
      <c r="AD33" s="140"/>
      <c r="AE33" s="261">
        <f>TblMili[[#This Row],[Hour]]</f>
        <v>30</v>
      </c>
      <c r="AF33" s="141">
        <f ca="1">TblExplore[[#This Row],[Time]]</f>
        <v>44872.208333333263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44872.208333333263</v>
      </c>
      <c r="AV33" s="97">
        <f ca="1">TblMili[[#This Row],[Draftees]]</f>
        <v>100</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1200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4]])*2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3</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300</v>
      </c>
      <c r="C34" s="160">
        <f ca="1">TblPop[[#This Row],[Military%]]</f>
        <v>0.12831479897348161</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550</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550</v>
      </c>
      <c r="X34" s="262">
        <f ca="1">TblConstr[[#This Row],[Land]]</f>
        <v>250</v>
      </c>
      <c r="Y34" s="265"/>
      <c r="Z34" s="270">
        <f ca="1">IF(TblMili[[#This Row],[Set]]&lt;&gt;"",TblMili[[#This Row],[Set]],OFFSET(TblMili[[#This Row],[Draftrate]],-1,0))</f>
        <v>0.35</v>
      </c>
      <c r="AA34" s="97">
        <f ca="1">start_draftees - SUM(TblMili[[#This Row],[Train Unit 1]:[Train Spies]],TblMili[[#This Row],[Train Wiz]]) - TblMili[[#This Row],[Release Draft]] + SUM(TblMili[[#This Row],[Release Unit 1]:[Release AM]]) - TblExplore[[#This Row],[Draftees (2)]]+MIN(13,days_late)*days_late_draftees</f>
        <v>100</v>
      </c>
      <c r="AB34" s="157"/>
      <c r="AC34" s="183">
        <f ca="1">(TblConstr[[#This Row],[Tot Smi]]+TblConstr[[#This Row],[Dest Smi]])/(TblConstr[[#This Row],[Land]]-TblExplore[[#This Row],[Land Bonus]]*20)</f>
        <v>0</v>
      </c>
      <c r="AD34" s="140"/>
      <c r="AE34" s="261">
        <f>TblMili[[#This Row],[Hour]]</f>
        <v>31</v>
      </c>
      <c r="AF34" s="141">
        <f ca="1">TblExplore[[#This Row],[Time]]</f>
        <v>44872.249999999927</v>
      </c>
      <c r="AG34" s="182"/>
      <c r="AH34" s="182"/>
      <c r="AI34" s="182"/>
      <c r="AJ34" s="182"/>
      <c r="AK34" s="182"/>
      <c r="AL34" s="182"/>
      <c r="AM34" s="182"/>
      <c r="AN34" s="182"/>
      <c r="AO34" s="145"/>
      <c r="AP34" s="97">
        <f ca="1">TblProd[[#This Row],[Platinum]]</f>
        <v>265221</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44872.249999999927</v>
      </c>
      <c r="AV34" s="97">
        <f ca="1">TblMili[[#This Row],[Draftees]]</f>
        <v>100</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1200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4]])*2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3</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300</v>
      </c>
      <c r="C35" s="160">
        <f ca="1">TblPop[[#This Row],[Military%]]</f>
        <v>0.12831479897348161</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550</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550</v>
      </c>
      <c r="X35" s="262">
        <f ca="1">TblConstr[[#This Row],[Land]]</f>
        <v>250</v>
      </c>
      <c r="Y35" s="265"/>
      <c r="Z35" s="270">
        <f ca="1">IF(TblMili[[#This Row],[Set]]&lt;&gt;"",TblMili[[#This Row],[Set]],OFFSET(TblMili[[#This Row],[Draftrate]],-1,0))</f>
        <v>0.35</v>
      </c>
      <c r="AA35" s="97">
        <f ca="1">start_draftees - SUM(TblMili[[#This Row],[Train Unit 1]:[Train Spies]],TblMili[[#This Row],[Train Wiz]]) - TblMili[[#This Row],[Release Draft]] + SUM(TblMili[[#This Row],[Release Unit 1]:[Release AM]]) - TblExplore[[#This Row],[Draftees (2)]]+MIN(13,days_late)*days_late_draftees</f>
        <v>100</v>
      </c>
      <c r="AB35" s="157"/>
      <c r="AC35" s="183">
        <f ca="1">(TblConstr[[#This Row],[Tot Smi]]+TblConstr[[#This Row],[Dest Smi]])/(TblConstr[[#This Row],[Land]]-TblExplore[[#This Row],[Land Bonus]]*20)</f>
        <v>0</v>
      </c>
      <c r="AD35" s="140"/>
      <c r="AE35" s="261">
        <f>TblMili[[#This Row],[Hour]]</f>
        <v>32</v>
      </c>
      <c r="AF35" s="141">
        <f ca="1">TblExplore[[#This Row],[Time]]</f>
        <v>44872.291666666591</v>
      </c>
      <c r="AG35" s="182"/>
      <c r="AH35" s="182"/>
      <c r="AI35" s="182"/>
      <c r="AJ35" s="182"/>
      <c r="AK35" s="182"/>
      <c r="AL35" s="182"/>
      <c r="AM35" s="182"/>
      <c r="AN35" s="182"/>
      <c r="AO35" s="145"/>
      <c r="AP35" s="97">
        <f ca="1">TblProd[[#This Row],[Platinum]]</f>
        <v>270891</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44872.291666666591</v>
      </c>
      <c r="AV35" s="97">
        <f ca="1">TblMili[[#This Row],[Draftees]]</f>
        <v>100</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1200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4]])*2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3</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300</v>
      </c>
      <c r="C36" s="160">
        <f ca="1">TblPop[[#This Row],[Military%]]</f>
        <v>0.12831479897348161</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550</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550</v>
      </c>
      <c r="X36" s="262">
        <f ca="1">TblConstr[[#This Row],[Land]]</f>
        <v>250</v>
      </c>
      <c r="Y36" s="265"/>
      <c r="Z36" s="270">
        <f ca="1">IF(TblMili[[#This Row],[Set]]&lt;&gt;"",TblMili[[#This Row],[Set]],OFFSET(TblMili[[#This Row],[Draftrate]],-1,0))</f>
        <v>0.35</v>
      </c>
      <c r="AA36" s="97">
        <f ca="1">start_draftees - SUM(TblMili[[#This Row],[Train Unit 1]:[Train Spies]],TblMili[[#This Row],[Train Wiz]]) - TblMili[[#This Row],[Release Draft]] + SUM(TblMili[[#This Row],[Release Unit 1]:[Release AM]]) - TblExplore[[#This Row],[Draftees (2)]]+MIN(13,days_late)*days_late_draftees</f>
        <v>100</v>
      </c>
      <c r="AB36" s="157"/>
      <c r="AC36" s="183">
        <f ca="1">(TblConstr[[#This Row],[Tot Smi]]+TblConstr[[#This Row],[Dest Smi]])/(TblConstr[[#This Row],[Land]]-TblExplore[[#This Row],[Land Bonus]]*20)</f>
        <v>0</v>
      </c>
      <c r="AD36" s="140"/>
      <c r="AE36" s="261">
        <f>TblMili[[#This Row],[Hour]]</f>
        <v>33</v>
      </c>
      <c r="AF36" s="141">
        <f ca="1">TblExplore[[#This Row],[Time]]</f>
        <v>44872.333333333256</v>
      </c>
      <c r="AG36" s="182"/>
      <c r="AH36" s="182"/>
      <c r="AI36" s="182"/>
      <c r="AJ36" s="182"/>
      <c r="AK36" s="182"/>
      <c r="AL36" s="182"/>
      <c r="AM36" s="182"/>
      <c r="AN36" s="182"/>
      <c r="AO36" s="145"/>
      <c r="AP36" s="97">
        <f ca="1">TblProd[[#This Row],[Platinum]]</f>
        <v>276561</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44872.333333333256</v>
      </c>
      <c r="AV36" s="97">
        <f ca="1">TblMili[[#This Row],[Draftees]]</f>
        <v>100</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1200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4]])*2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3</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300</v>
      </c>
      <c r="C37" s="160">
        <f ca="1">TblPop[[#This Row],[Military%]]</f>
        <v>0.12831479897348161</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550</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550</v>
      </c>
      <c r="X37" s="262">
        <f ca="1">TblConstr[[#This Row],[Land]]</f>
        <v>250</v>
      </c>
      <c r="Y37" s="265"/>
      <c r="Z37" s="270">
        <f ca="1">IF(TblMili[[#This Row],[Set]]&lt;&gt;"",TblMili[[#This Row],[Set]],OFFSET(TblMili[[#This Row],[Draftrate]],-1,0))</f>
        <v>0.35</v>
      </c>
      <c r="AA37" s="97">
        <f ca="1">start_draftees - SUM(TblMili[[#This Row],[Train Unit 1]:[Train Spies]],TblMili[[#This Row],[Train Wiz]]) - TblMili[[#This Row],[Release Draft]] + SUM(TblMili[[#This Row],[Release Unit 1]:[Release AM]]) - TblExplore[[#This Row],[Draftees (2)]]+MIN(13,days_late)*days_late_draftees</f>
        <v>100</v>
      </c>
      <c r="AB37" s="157"/>
      <c r="AC37" s="183">
        <f ca="1">(TblConstr[[#This Row],[Tot Smi]]+TblConstr[[#This Row],[Dest Smi]])/(TblConstr[[#This Row],[Land]]-TblExplore[[#This Row],[Land Bonus]]*20)</f>
        <v>0</v>
      </c>
      <c r="AD37" s="140"/>
      <c r="AE37" s="261">
        <f>TblMili[[#This Row],[Hour]]</f>
        <v>34</v>
      </c>
      <c r="AF37" s="141">
        <f ca="1">TblExplore[[#This Row],[Time]]</f>
        <v>44872.37499999992</v>
      </c>
      <c r="AG37" s="182"/>
      <c r="AH37" s="182"/>
      <c r="AI37" s="182"/>
      <c r="AJ37" s="182"/>
      <c r="AK37" s="182"/>
      <c r="AL37" s="182"/>
      <c r="AM37" s="182"/>
      <c r="AN37" s="182"/>
      <c r="AO37" s="145"/>
      <c r="AP37" s="97">
        <f ca="1">TblProd[[#This Row],[Platinum]]</f>
        <v>282231</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44872.37499999992</v>
      </c>
      <c r="AV37" s="97">
        <f ca="1">TblMili[[#This Row],[Draftees]]</f>
        <v>100</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1200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4]])*2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3</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300</v>
      </c>
      <c r="C38" s="160">
        <f ca="1">TblPop[[#This Row],[Military%]]</f>
        <v>0.12831479897348161</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550</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550</v>
      </c>
      <c r="X38" s="262">
        <f ca="1">TblConstr[[#This Row],[Land]]</f>
        <v>250</v>
      </c>
      <c r="Y38" s="265"/>
      <c r="Z38" s="270">
        <f ca="1">IF(TblMili[[#This Row],[Set]]&lt;&gt;"",TblMili[[#This Row],[Set]],OFFSET(TblMili[[#This Row],[Draftrate]],-1,0))</f>
        <v>0.35</v>
      </c>
      <c r="AA38" s="97">
        <f ca="1">start_draftees - SUM(TblMili[[#This Row],[Train Unit 1]:[Train Spies]],TblMili[[#This Row],[Train Wiz]]) - TblMili[[#This Row],[Release Draft]] + SUM(TblMili[[#This Row],[Release Unit 1]:[Release AM]]) - TblExplore[[#This Row],[Draftees (2)]]+MIN(13,days_late)*days_late_draftees</f>
        <v>100</v>
      </c>
      <c r="AB38" s="157"/>
      <c r="AC38" s="183">
        <f ca="1">(TblConstr[[#This Row],[Tot Smi]]+TblConstr[[#This Row],[Dest Smi]])/(TblConstr[[#This Row],[Land]]-TblExplore[[#This Row],[Land Bonus]]*20)</f>
        <v>0</v>
      </c>
      <c r="AD38" s="140"/>
      <c r="AE38" s="261">
        <f>TblMili[[#This Row],[Hour]]</f>
        <v>35</v>
      </c>
      <c r="AF38" s="141">
        <f ca="1">TblExplore[[#This Row],[Time]]</f>
        <v>44872.416666666584</v>
      </c>
      <c r="AG38" s="182"/>
      <c r="AH38" s="182"/>
      <c r="AI38" s="182"/>
      <c r="AJ38" s="182"/>
      <c r="AK38" s="182"/>
      <c r="AL38" s="182"/>
      <c r="AM38" s="182"/>
      <c r="AN38" s="182"/>
      <c r="AO38" s="145"/>
      <c r="AP38" s="97">
        <f ca="1">TblProd[[#This Row],[Platinum]]</f>
        <v>287901</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44872.416666666584</v>
      </c>
      <c r="AV38" s="97">
        <f ca="1">TblMili[[#This Row],[Draftees]]</f>
        <v>100</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1200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4]])*2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3</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300</v>
      </c>
      <c r="C39" s="160">
        <f ca="1">TblPop[[#This Row],[Military%]]</f>
        <v>0.12831479897348161</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550</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550</v>
      </c>
      <c r="X39" s="262">
        <f ca="1">TblConstr[[#This Row],[Land]]</f>
        <v>250</v>
      </c>
      <c r="Y39" s="265"/>
      <c r="Z39" s="270">
        <f ca="1">IF(TblMili[[#This Row],[Set]]&lt;&gt;"",TblMili[[#This Row],[Set]],OFFSET(TblMili[[#This Row],[Draftrate]],-1,0))</f>
        <v>0.35</v>
      </c>
      <c r="AA39" s="97">
        <f ca="1">start_draftees - SUM(TblMili[[#This Row],[Train Unit 1]:[Train Spies]],TblMili[[#This Row],[Train Wiz]]) - TblMili[[#This Row],[Release Draft]] + SUM(TblMili[[#This Row],[Release Unit 1]:[Release AM]]) - TblExplore[[#This Row],[Draftees (2)]]+MIN(13,days_late)*days_late_draftees</f>
        <v>100</v>
      </c>
      <c r="AB39" s="157"/>
      <c r="AC39" s="183">
        <f ca="1">(TblConstr[[#This Row],[Tot Smi]]+TblConstr[[#This Row],[Dest Smi]])/(TblConstr[[#This Row],[Land]]-TblExplore[[#This Row],[Land Bonus]]*20)</f>
        <v>0</v>
      </c>
      <c r="AD39" s="140"/>
      <c r="AE39" s="261">
        <f>TblMili[[#This Row],[Hour]]</f>
        <v>36</v>
      </c>
      <c r="AF39" s="141">
        <f ca="1">TblExplore[[#This Row],[Time]]</f>
        <v>44872.458333333248</v>
      </c>
      <c r="AG39" s="182"/>
      <c r="AH39" s="182"/>
      <c r="AI39" s="182"/>
      <c r="AJ39" s="182"/>
      <c r="AK39" s="182"/>
      <c r="AL39" s="182"/>
      <c r="AM39" s="182"/>
      <c r="AN39" s="182"/>
      <c r="AO39" s="145"/>
      <c r="AP39" s="97">
        <f ca="1">TblProd[[#This Row],[Platinum]]</f>
        <v>293571</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44872.458333333248</v>
      </c>
      <c r="AV39" s="97">
        <f ca="1">TblMili[[#This Row],[Draftees]]</f>
        <v>100</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1200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4]])*2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3</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300</v>
      </c>
      <c r="C40" s="160">
        <f ca="1">TblPop[[#This Row],[Military%]]</f>
        <v>0.12831479897348161</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550</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550</v>
      </c>
      <c r="X40" s="262">
        <f ca="1">TblConstr[[#This Row],[Land]]</f>
        <v>250</v>
      </c>
      <c r="Y40" s="265"/>
      <c r="Z40" s="270">
        <f ca="1">IF(TblMili[[#This Row],[Set]]&lt;&gt;"",TblMili[[#This Row],[Set]],OFFSET(TblMili[[#This Row],[Draftrate]],-1,0))</f>
        <v>0.35</v>
      </c>
      <c r="AA40" s="97">
        <f ca="1">start_draftees - SUM(TblMili[[#This Row],[Train Unit 1]:[Train Spies]],TblMili[[#This Row],[Train Wiz]]) - TblMili[[#This Row],[Release Draft]] + SUM(TblMili[[#This Row],[Release Unit 1]:[Release AM]]) - TblExplore[[#This Row],[Draftees (2)]]+MIN(13,days_late)*days_late_draftees</f>
        <v>100</v>
      </c>
      <c r="AB40" s="157"/>
      <c r="AC40" s="183">
        <f ca="1">(TblConstr[[#This Row],[Tot Smi]]+TblConstr[[#This Row],[Dest Smi]])/(TblConstr[[#This Row],[Land]]-TblExplore[[#This Row],[Land Bonus]]*20)</f>
        <v>0</v>
      </c>
      <c r="AD40" s="140"/>
      <c r="AE40" s="261">
        <f>TblMili[[#This Row],[Hour]]</f>
        <v>37</v>
      </c>
      <c r="AF40" s="141">
        <f ca="1">TblExplore[[#This Row],[Time]]</f>
        <v>44872.499999999913</v>
      </c>
      <c r="AG40" s="182"/>
      <c r="AH40" s="182"/>
      <c r="AI40" s="182"/>
      <c r="AJ40" s="182"/>
      <c r="AK40" s="182"/>
      <c r="AL40" s="182"/>
      <c r="AM40" s="182"/>
      <c r="AN40" s="182"/>
      <c r="AO40" s="145"/>
      <c r="AP40" s="97">
        <f ca="1">TblProd[[#This Row],[Platinum]]</f>
        <v>299241</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44872.499999999913</v>
      </c>
      <c r="AV40" s="97">
        <f ca="1">TblMili[[#This Row],[Draftees]]</f>
        <v>100</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1200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4]])*2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3</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300</v>
      </c>
      <c r="C41" s="160">
        <f ca="1">TblPop[[#This Row],[Military%]]</f>
        <v>0.12831479897348161</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550</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550</v>
      </c>
      <c r="X41" s="262">
        <f ca="1">TblConstr[[#This Row],[Land]]</f>
        <v>250</v>
      </c>
      <c r="Y41" s="265"/>
      <c r="Z41" s="270">
        <f ca="1">IF(TblMili[[#This Row],[Set]]&lt;&gt;"",TblMili[[#This Row],[Set]],OFFSET(TblMili[[#This Row],[Draftrate]],-1,0))</f>
        <v>0.35</v>
      </c>
      <c r="AA41" s="97">
        <f ca="1">start_draftees - SUM(TblMili[[#This Row],[Train Unit 1]:[Train Spies]],TblMili[[#This Row],[Train Wiz]]) - TblMili[[#This Row],[Release Draft]] + SUM(TblMili[[#This Row],[Release Unit 1]:[Release AM]]) - TblExplore[[#This Row],[Draftees (2)]]+MIN(13,days_late)*days_late_draftees</f>
        <v>100</v>
      </c>
      <c r="AB41" s="157"/>
      <c r="AC41" s="183">
        <f ca="1">(TblConstr[[#This Row],[Tot Smi]]+TblConstr[[#This Row],[Dest Smi]])/(TblConstr[[#This Row],[Land]]-TblExplore[[#This Row],[Land Bonus]]*20)</f>
        <v>0</v>
      </c>
      <c r="AD41" s="140"/>
      <c r="AE41" s="261">
        <f>TblMili[[#This Row],[Hour]]</f>
        <v>38</v>
      </c>
      <c r="AF41" s="141">
        <f ca="1">TblExplore[[#This Row],[Time]]</f>
        <v>44872.541666666577</v>
      </c>
      <c r="AG41" s="182"/>
      <c r="AH41" s="182"/>
      <c r="AI41" s="182"/>
      <c r="AJ41" s="182"/>
      <c r="AK41" s="182"/>
      <c r="AL41" s="182"/>
      <c r="AM41" s="182"/>
      <c r="AN41" s="182"/>
      <c r="AO41" s="145"/>
      <c r="AP41" s="97">
        <f ca="1">TblProd[[#This Row],[Platinum]]</f>
        <v>304911</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44872.541666666577</v>
      </c>
      <c r="AV41" s="97">
        <f ca="1">TblMili[[#This Row],[Draftees]]</f>
        <v>100</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1200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4]])*2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3</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300</v>
      </c>
      <c r="C42" s="160">
        <f ca="1">TblPop[[#This Row],[Military%]]</f>
        <v>0.12831479897348161</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550</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550</v>
      </c>
      <c r="X42" s="262">
        <f ca="1">TblConstr[[#This Row],[Land]]</f>
        <v>250</v>
      </c>
      <c r="Y42" s="265"/>
      <c r="Z42" s="270">
        <f ca="1">IF(TblMili[[#This Row],[Set]]&lt;&gt;"",TblMili[[#This Row],[Set]],OFFSET(TblMili[[#This Row],[Draftrate]],-1,0))</f>
        <v>0.35</v>
      </c>
      <c r="AA42" s="97">
        <f ca="1">start_draftees - SUM(TblMili[[#This Row],[Train Unit 1]:[Train Spies]],TblMili[[#This Row],[Train Wiz]]) - TblMili[[#This Row],[Release Draft]] + SUM(TblMili[[#This Row],[Release Unit 1]:[Release AM]]) - TblExplore[[#This Row],[Draftees (2)]]+MIN(13,days_late)*days_late_draftees</f>
        <v>100</v>
      </c>
      <c r="AB42" s="157"/>
      <c r="AC42" s="183">
        <f ca="1">(TblConstr[[#This Row],[Tot Smi]]+TblConstr[[#This Row],[Dest Smi]])/(TblConstr[[#This Row],[Land]]-TblExplore[[#This Row],[Land Bonus]]*20)</f>
        <v>0</v>
      </c>
      <c r="AD42" s="140"/>
      <c r="AE42" s="261">
        <f>TblMili[[#This Row],[Hour]]</f>
        <v>39</v>
      </c>
      <c r="AF42" s="141">
        <f ca="1">TblExplore[[#This Row],[Time]]</f>
        <v>44872.583333333241</v>
      </c>
      <c r="AG42" s="182"/>
      <c r="AH42" s="182"/>
      <c r="AI42" s="182"/>
      <c r="AJ42" s="182"/>
      <c r="AK42" s="182"/>
      <c r="AL42" s="182"/>
      <c r="AM42" s="182"/>
      <c r="AN42" s="182"/>
      <c r="AO42" s="145"/>
      <c r="AP42" s="97">
        <f ca="1">TblProd[[#This Row],[Platinum]]</f>
        <v>310581</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44872.583333333241</v>
      </c>
      <c r="AV42" s="97">
        <f ca="1">TblMili[[#This Row],[Draftees]]</f>
        <v>100</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1200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4]])*2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3</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300</v>
      </c>
      <c r="C43" s="160">
        <f ca="1">TblPop[[#This Row],[Military%]]</f>
        <v>0.12831479897348161</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550</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550</v>
      </c>
      <c r="X43" s="262">
        <f ca="1">TblConstr[[#This Row],[Land]]</f>
        <v>250</v>
      </c>
      <c r="Y43" s="265"/>
      <c r="Z43" s="270">
        <f ca="1">IF(TblMili[[#This Row],[Set]]&lt;&gt;"",TblMili[[#This Row],[Set]],OFFSET(TblMili[[#This Row],[Draftrate]],-1,0))</f>
        <v>0.35</v>
      </c>
      <c r="AA43" s="97">
        <f ca="1">start_draftees - SUM(TblMili[[#This Row],[Train Unit 1]:[Train Spies]],TblMili[[#This Row],[Train Wiz]]) - TblMili[[#This Row],[Release Draft]] + SUM(TblMili[[#This Row],[Release Unit 1]:[Release AM]]) - TblExplore[[#This Row],[Draftees (2)]]+MIN(13,days_late)*days_late_draftees</f>
        <v>100</v>
      </c>
      <c r="AB43" s="157"/>
      <c r="AC43" s="183">
        <f ca="1">(TblConstr[[#This Row],[Tot Smi]]+TblConstr[[#This Row],[Dest Smi]])/(TblConstr[[#This Row],[Land]]-TblExplore[[#This Row],[Land Bonus]]*20)</f>
        <v>0</v>
      </c>
      <c r="AD43" s="140"/>
      <c r="AE43" s="261">
        <f>TblMili[[#This Row],[Hour]]</f>
        <v>40</v>
      </c>
      <c r="AF43" s="141">
        <f ca="1">TblExplore[[#This Row],[Time]]</f>
        <v>44872.624999999905</v>
      </c>
      <c r="AG43" s="182"/>
      <c r="AH43" s="182"/>
      <c r="AI43" s="182"/>
      <c r="AJ43" s="182"/>
      <c r="AK43" s="182"/>
      <c r="AL43" s="182"/>
      <c r="AM43" s="182"/>
      <c r="AN43" s="182"/>
      <c r="AO43" s="145"/>
      <c r="AP43" s="97">
        <f ca="1">TblProd[[#This Row],[Platinum]]</f>
        <v>316251</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44872.624999999905</v>
      </c>
      <c r="AV43" s="97">
        <f ca="1">TblMili[[#This Row],[Draftees]]</f>
        <v>100</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1200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4]])*2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3</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300</v>
      </c>
      <c r="C44" s="160">
        <f ca="1">TblPop[[#This Row],[Military%]]</f>
        <v>0.12831479897348161</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550</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550</v>
      </c>
      <c r="X44" s="262">
        <f ca="1">TblConstr[[#This Row],[Land]]</f>
        <v>250</v>
      </c>
      <c r="Y44" s="265"/>
      <c r="Z44" s="270">
        <f ca="1">IF(TblMili[[#This Row],[Set]]&lt;&gt;"",TblMili[[#This Row],[Set]],OFFSET(TblMili[[#This Row],[Draftrate]],-1,0))</f>
        <v>0.35</v>
      </c>
      <c r="AA44" s="97">
        <f ca="1">start_draftees - SUM(TblMili[[#This Row],[Train Unit 1]:[Train Spies]],TblMili[[#This Row],[Train Wiz]]) - TblMili[[#This Row],[Release Draft]] + SUM(TblMili[[#This Row],[Release Unit 1]:[Release AM]]) - TblExplore[[#This Row],[Draftees (2)]]+MIN(13,days_late)*days_late_draftees</f>
        <v>100</v>
      </c>
      <c r="AB44" s="157"/>
      <c r="AC44" s="183">
        <f ca="1">(TblConstr[[#This Row],[Tot Smi]]+TblConstr[[#This Row],[Dest Smi]])/(TblConstr[[#This Row],[Land]]-TblExplore[[#This Row],[Land Bonus]]*20)</f>
        <v>0</v>
      </c>
      <c r="AD44" s="140"/>
      <c r="AE44" s="261">
        <f>TblMili[[#This Row],[Hour]]</f>
        <v>41</v>
      </c>
      <c r="AF44" s="141">
        <f ca="1">TblExplore[[#This Row],[Time]]</f>
        <v>44872.66666666657</v>
      </c>
      <c r="AG44" s="182"/>
      <c r="AH44" s="182"/>
      <c r="AI44" s="182"/>
      <c r="AJ44" s="182"/>
      <c r="AK44" s="182"/>
      <c r="AL44" s="182"/>
      <c r="AM44" s="182"/>
      <c r="AN44" s="182"/>
      <c r="AO44" s="145"/>
      <c r="AP44" s="97">
        <f ca="1">TblProd[[#This Row],[Platinum]]</f>
        <v>321921</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44872.66666666657</v>
      </c>
      <c r="AV44" s="97">
        <f ca="1">TblMili[[#This Row],[Draftees]]</f>
        <v>100</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1200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4]])*2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3</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300</v>
      </c>
      <c r="C45" s="160">
        <f ca="1">TblPop[[#This Row],[Military%]]</f>
        <v>0.12831479897348161</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550</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550</v>
      </c>
      <c r="X45" s="262">
        <f ca="1">TblConstr[[#This Row],[Land]]</f>
        <v>250</v>
      </c>
      <c r="Y45" s="265"/>
      <c r="Z45" s="270">
        <f ca="1">IF(TblMili[[#This Row],[Set]]&lt;&gt;"",TblMili[[#This Row],[Set]],OFFSET(TblMili[[#This Row],[Draftrate]],-1,0))</f>
        <v>0.35</v>
      </c>
      <c r="AA45" s="97">
        <f ca="1">start_draftees - SUM(TblMili[[#This Row],[Train Unit 1]:[Train Spies]],TblMili[[#This Row],[Train Wiz]]) - TblMili[[#This Row],[Release Draft]] + SUM(TblMili[[#This Row],[Release Unit 1]:[Release AM]]) - TblExplore[[#This Row],[Draftees (2)]]+MIN(13,days_late)*days_late_draftees</f>
        <v>100</v>
      </c>
      <c r="AB45" s="157"/>
      <c r="AC45" s="183">
        <f ca="1">(TblConstr[[#This Row],[Tot Smi]]+TblConstr[[#This Row],[Dest Smi]])/(TblConstr[[#This Row],[Land]]-TblExplore[[#This Row],[Land Bonus]]*20)</f>
        <v>0</v>
      </c>
      <c r="AD45" s="140"/>
      <c r="AE45" s="261">
        <f>TblMili[[#This Row],[Hour]]</f>
        <v>42</v>
      </c>
      <c r="AF45" s="141">
        <f ca="1">TblExplore[[#This Row],[Time]]</f>
        <v>44872.708333333234</v>
      </c>
      <c r="AG45" s="182"/>
      <c r="AH45" s="182"/>
      <c r="AI45" s="182"/>
      <c r="AJ45" s="182"/>
      <c r="AK45" s="182"/>
      <c r="AL45" s="182"/>
      <c r="AM45" s="182"/>
      <c r="AN45" s="182"/>
      <c r="AO45" s="145"/>
      <c r="AP45" s="97">
        <f ca="1">TblProd[[#This Row],[Platinum]]</f>
        <v>327591</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44872.708333333234</v>
      </c>
      <c r="AV45" s="97">
        <f ca="1">TblMili[[#This Row],[Draftees]]</f>
        <v>100</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1200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4]])*2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3</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300</v>
      </c>
      <c r="C46" s="160">
        <f ca="1">TblPop[[#This Row],[Military%]]</f>
        <v>0.12831479897348161</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550</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550</v>
      </c>
      <c r="X46" s="262">
        <f ca="1">TblConstr[[#This Row],[Land]]</f>
        <v>250</v>
      </c>
      <c r="Y46" s="265"/>
      <c r="Z46" s="270">
        <f ca="1">IF(TblMili[[#This Row],[Set]]&lt;&gt;"",TblMili[[#This Row],[Set]],OFFSET(TblMili[[#This Row],[Draftrate]],-1,0))</f>
        <v>0.35</v>
      </c>
      <c r="AA46" s="97">
        <f ca="1">start_draftees - SUM(TblMili[[#This Row],[Train Unit 1]:[Train Spies]],TblMili[[#This Row],[Train Wiz]]) - TblMili[[#This Row],[Release Draft]] + SUM(TblMili[[#This Row],[Release Unit 1]:[Release AM]]) - TblExplore[[#This Row],[Draftees (2)]]+MIN(13,days_late)*days_late_draftees</f>
        <v>100</v>
      </c>
      <c r="AB46" s="157"/>
      <c r="AC46" s="183">
        <f ca="1">(TblConstr[[#This Row],[Tot Smi]]+TblConstr[[#This Row],[Dest Smi]])/(TblConstr[[#This Row],[Land]]-TblExplore[[#This Row],[Land Bonus]]*20)</f>
        <v>0</v>
      </c>
      <c r="AD46" s="140"/>
      <c r="AE46" s="261">
        <f>TblMili[[#This Row],[Hour]]</f>
        <v>43</v>
      </c>
      <c r="AF46" s="141">
        <f ca="1">TblExplore[[#This Row],[Time]]</f>
        <v>44872.749999999898</v>
      </c>
      <c r="AG46" s="182"/>
      <c r="AH46" s="182"/>
      <c r="AI46" s="182"/>
      <c r="AJ46" s="182"/>
      <c r="AK46" s="182"/>
      <c r="AL46" s="182"/>
      <c r="AM46" s="182"/>
      <c r="AN46" s="182"/>
      <c r="AO46" s="145"/>
      <c r="AP46" s="97">
        <f ca="1">TblProd[[#This Row],[Platinum]]</f>
        <v>333261</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44872.749999999898</v>
      </c>
      <c r="AV46" s="97">
        <f ca="1">TblMili[[#This Row],[Draftees]]</f>
        <v>100</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1200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4]])*2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3</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300</v>
      </c>
      <c r="C47" s="160">
        <f ca="1">TblPop[[#This Row],[Military%]]</f>
        <v>0.12831479897348161</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550</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550</v>
      </c>
      <c r="X47" s="262">
        <f ca="1">TblConstr[[#This Row],[Land]]</f>
        <v>250</v>
      </c>
      <c r="Y47" s="265"/>
      <c r="Z47" s="270">
        <f ca="1">IF(TblMili[[#This Row],[Set]]&lt;&gt;"",TblMili[[#This Row],[Set]],OFFSET(TblMili[[#This Row],[Draftrate]],-1,0))</f>
        <v>0.35</v>
      </c>
      <c r="AA47" s="97">
        <f ca="1">start_draftees - SUM(TblMili[[#This Row],[Train Unit 1]:[Train Spies]],TblMili[[#This Row],[Train Wiz]]) - TblMili[[#This Row],[Release Draft]] + SUM(TblMili[[#This Row],[Release Unit 1]:[Release AM]]) - TblExplore[[#This Row],[Draftees (2)]]+MIN(13,days_late)*days_late_draftees</f>
        <v>100</v>
      </c>
      <c r="AB47" s="157"/>
      <c r="AC47" s="183">
        <f ca="1">(TblConstr[[#This Row],[Tot Smi]]+TblConstr[[#This Row],[Dest Smi]])/(TblConstr[[#This Row],[Land]]-TblExplore[[#This Row],[Land Bonus]]*20)</f>
        <v>0</v>
      </c>
      <c r="AD47" s="140"/>
      <c r="AE47" s="261">
        <f>TblMili[[#This Row],[Hour]]</f>
        <v>44</v>
      </c>
      <c r="AF47" s="141">
        <f ca="1">TblExplore[[#This Row],[Time]]</f>
        <v>44872.791666666562</v>
      </c>
      <c r="AG47" s="182"/>
      <c r="AH47" s="182"/>
      <c r="AI47" s="182"/>
      <c r="AJ47" s="182"/>
      <c r="AK47" s="182"/>
      <c r="AL47" s="182"/>
      <c r="AM47" s="182"/>
      <c r="AN47" s="182"/>
      <c r="AO47" s="145"/>
      <c r="AP47" s="97">
        <f ca="1">TblProd[[#This Row],[Platinum]]</f>
        <v>338931</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44872.791666666562</v>
      </c>
      <c r="AV47" s="97">
        <f ca="1">TblMili[[#This Row],[Draftees]]</f>
        <v>100</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1200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4]])*2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3</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300</v>
      </c>
      <c r="C48" s="160">
        <f ca="1">TblPop[[#This Row],[Military%]]</f>
        <v>0.12831479897348161</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550</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550</v>
      </c>
      <c r="X48" s="262">
        <f ca="1">TblConstr[[#This Row],[Land]]</f>
        <v>250</v>
      </c>
      <c r="Y48" s="265"/>
      <c r="Z48" s="270">
        <f ca="1">IF(TblMili[[#This Row],[Set]]&lt;&gt;"",TblMili[[#This Row],[Set]],OFFSET(TblMili[[#This Row],[Draftrate]],-1,0))</f>
        <v>0.35</v>
      </c>
      <c r="AA48" s="97">
        <f ca="1">start_draftees - SUM(TblMili[[#This Row],[Train Unit 1]:[Train Spies]],TblMili[[#This Row],[Train Wiz]]) - TblMili[[#This Row],[Release Draft]] + SUM(TblMili[[#This Row],[Release Unit 1]:[Release AM]]) - TblExplore[[#This Row],[Draftees (2)]]+MIN(13,days_late)*days_late_draftees</f>
        <v>100</v>
      </c>
      <c r="AB48" s="157"/>
      <c r="AC48" s="183">
        <f ca="1">(TblConstr[[#This Row],[Tot Smi]]+TblConstr[[#This Row],[Dest Smi]])/(TblConstr[[#This Row],[Land]]-TblExplore[[#This Row],[Land Bonus]]*20)</f>
        <v>0</v>
      </c>
      <c r="AD48" s="140"/>
      <c r="AE48" s="261">
        <f>TblMili[[#This Row],[Hour]]</f>
        <v>45</v>
      </c>
      <c r="AF48" s="141">
        <f ca="1">TblExplore[[#This Row],[Time]]</f>
        <v>44872.833333333227</v>
      </c>
      <c r="AG48" s="182"/>
      <c r="AH48" s="182"/>
      <c r="AI48" s="182"/>
      <c r="AJ48" s="182"/>
      <c r="AK48" s="182"/>
      <c r="AL48" s="182"/>
      <c r="AM48" s="182"/>
      <c r="AN48" s="182"/>
      <c r="AO48" s="145"/>
      <c r="AP48" s="97">
        <f ca="1">TblProd[[#This Row],[Platinum]]</f>
        <v>344601</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44872.833333333227</v>
      </c>
      <c r="AV48" s="97">
        <f ca="1">TblMili[[#This Row],[Draftees]]</f>
        <v>100</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1200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4]])*2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3</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300</v>
      </c>
      <c r="C49" s="160">
        <f ca="1">TblPop[[#This Row],[Military%]]</f>
        <v>0.12831479897348161</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550</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550</v>
      </c>
      <c r="X49" s="262">
        <f ca="1">TblConstr[[#This Row],[Land]]</f>
        <v>250</v>
      </c>
      <c r="Y49" s="265"/>
      <c r="Z49" s="270">
        <f ca="1">IF(TblMili[[#This Row],[Set]]&lt;&gt;"",TblMili[[#This Row],[Set]],OFFSET(TblMili[[#This Row],[Draftrate]],-1,0))</f>
        <v>0.35</v>
      </c>
      <c r="AA49" s="97">
        <f ca="1">start_draftees - SUM(TblMili[[#This Row],[Train Unit 1]:[Train Spies]],TblMili[[#This Row],[Train Wiz]]) - TblMili[[#This Row],[Release Draft]] + SUM(TblMili[[#This Row],[Release Unit 1]:[Release AM]]) - TblExplore[[#This Row],[Draftees (2)]]+MIN(13,days_late)*days_late_draftees</f>
        <v>100</v>
      </c>
      <c r="AB49" s="157"/>
      <c r="AC49" s="183">
        <f ca="1">(TblConstr[[#This Row],[Tot Smi]]+TblConstr[[#This Row],[Dest Smi]])/(TblConstr[[#This Row],[Land]]-TblExplore[[#This Row],[Land Bonus]]*20)</f>
        <v>0</v>
      </c>
      <c r="AD49" s="140"/>
      <c r="AE49" s="261">
        <f>TblMili[[#This Row],[Hour]]</f>
        <v>46</v>
      </c>
      <c r="AF49" s="141">
        <f ca="1">TblExplore[[#This Row],[Time]]</f>
        <v>44872.874999999891</v>
      </c>
      <c r="AG49" s="182"/>
      <c r="AH49" s="182"/>
      <c r="AI49" s="182"/>
      <c r="AJ49" s="182"/>
      <c r="AK49" s="182"/>
      <c r="AL49" s="182"/>
      <c r="AM49" s="182"/>
      <c r="AN49" s="182"/>
      <c r="AO49" s="145"/>
      <c r="AP49" s="97">
        <f ca="1">TblProd[[#This Row],[Platinum]]</f>
        <v>350271</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44872.874999999891</v>
      </c>
      <c r="AV49" s="97">
        <f ca="1">TblMili[[#This Row],[Draftees]]</f>
        <v>100</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1200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4]])*2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3</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300</v>
      </c>
      <c r="C50" s="160">
        <f ca="1">TblPop[[#This Row],[Military%]]</f>
        <v>0.12831479897348161</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550</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550</v>
      </c>
      <c r="X50" s="262">
        <f ca="1">TblConstr[[#This Row],[Land]]</f>
        <v>250</v>
      </c>
      <c r="Y50" s="265"/>
      <c r="Z50" s="270">
        <f ca="1">IF(TblMili[[#This Row],[Set]]&lt;&gt;"",TblMili[[#This Row],[Set]],OFFSET(TblMili[[#This Row],[Draftrate]],-1,0))</f>
        <v>0.35</v>
      </c>
      <c r="AA50" s="97">
        <f ca="1">start_draftees - SUM(TblMili[[#This Row],[Train Unit 1]:[Train Spies]],TblMili[[#This Row],[Train Wiz]]) - TblMili[[#This Row],[Release Draft]] + SUM(TblMili[[#This Row],[Release Unit 1]:[Release AM]]) - TblExplore[[#This Row],[Draftees (2)]]+MIN(13,days_late)*days_late_draftees</f>
        <v>100</v>
      </c>
      <c r="AB50" s="157"/>
      <c r="AC50" s="183">
        <f ca="1">(TblConstr[[#This Row],[Tot Smi]]+TblConstr[[#This Row],[Dest Smi]])/(TblConstr[[#This Row],[Land]]-TblExplore[[#This Row],[Land Bonus]]*20)</f>
        <v>0</v>
      </c>
      <c r="AD50" s="140"/>
      <c r="AE50" s="261">
        <f>TblMili[[#This Row],[Hour]]</f>
        <v>47</v>
      </c>
      <c r="AF50" s="141">
        <f ca="1">TblExplore[[#This Row],[Time]]</f>
        <v>44872.916666666555</v>
      </c>
      <c r="AG50" s="182"/>
      <c r="AH50" s="182"/>
      <c r="AI50" s="182"/>
      <c r="AJ50" s="182"/>
      <c r="AK50" s="182"/>
      <c r="AL50" s="182"/>
      <c r="AM50" s="182"/>
      <c r="AN50" s="182"/>
      <c r="AO50" s="145"/>
      <c r="AP50" s="97">
        <f ca="1">TblProd[[#This Row],[Platinum]]</f>
        <v>355941</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44872.916666666555</v>
      </c>
      <c r="AV50" s="97">
        <f ca="1">TblMili[[#This Row],[Draftees]]</f>
        <v>100</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1200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4]])*2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3</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300</v>
      </c>
      <c r="C51" s="160">
        <f ca="1">TblPop[[#This Row],[Military%]]</f>
        <v>0.12831479897348161</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550</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550</v>
      </c>
      <c r="X51" s="262">
        <f ca="1">TblConstr[[#This Row],[Land]]</f>
        <v>250</v>
      </c>
      <c r="Y51" s="265"/>
      <c r="Z51" s="270">
        <f ca="1">IF(TblMili[[#This Row],[Set]]&lt;&gt;"",TblMili[[#This Row],[Set]],OFFSET(TblMili[[#This Row],[Draftrate]],-1,0))</f>
        <v>0.35</v>
      </c>
      <c r="AA51" s="97">
        <f ca="1">start_draftees - SUM(TblMili[[#This Row],[Train Unit 1]:[Train Spies]],TblMili[[#This Row],[Train Wiz]]) - TblMili[[#This Row],[Release Draft]] + SUM(TblMili[[#This Row],[Release Unit 1]:[Release AM]]) - TblExplore[[#This Row],[Draftees (2)]]+MIN(13,days_late)*days_late_draftees</f>
        <v>100</v>
      </c>
      <c r="AB51" s="157"/>
      <c r="AC51" s="183">
        <f ca="1">(TblConstr[[#This Row],[Tot Smi]]+TblConstr[[#This Row],[Dest Smi]])/(TblConstr[[#This Row],[Land]]-TblExplore[[#This Row],[Land Bonus]]*20)</f>
        <v>0</v>
      </c>
      <c r="AD51" s="140"/>
      <c r="AE51" s="261">
        <f>TblMili[[#This Row],[Hour]]</f>
        <v>48</v>
      </c>
      <c r="AF51" s="141">
        <f ca="1">TblExplore[[#This Row],[Time]]</f>
        <v>44872.958333333219</v>
      </c>
      <c r="AG51" s="182"/>
      <c r="AH51" s="182"/>
      <c r="AI51" s="182"/>
      <c r="AJ51" s="182"/>
      <c r="AK51" s="182"/>
      <c r="AL51" s="182"/>
      <c r="AM51" s="182"/>
      <c r="AN51" s="182"/>
      <c r="AO51" s="145"/>
      <c r="AP51" s="97">
        <f ca="1">TblProd[[#This Row],[Platinum]]</f>
        <v>361611</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44872.958333333219</v>
      </c>
      <c r="AV51" s="97">
        <f ca="1">TblMili[[#This Row],[Draftees]]</f>
        <v>100</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1200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4]])*2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3</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300</v>
      </c>
      <c r="C52" s="160">
        <f ca="1">TblPop[[#This Row],[Military%]]</f>
        <v>0.12831479897348161</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550</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550</v>
      </c>
      <c r="X52" s="262">
        <f ca="1">TblConstr[[#This Row],[Land]]</f>
        <v>250</v>
      </c>
      <c r="Y52" s="265"/>
      <c r="Z52" s="270">
        <f ca="1">IF(TblMili[[#This Row],[Set]]&lt;&gt;"",TblMili[[#This Row],[Set]],OFFSET(TblMili[[#This Row],[Draftrate]],-1,0))</f>
        <v>0.35</v>
      </c>
      <c r="AA52" s="97">
        <f ca="1">start_draftees - SUM(TblMili[[#This Row],[Train Unit 1]:[Train Spies]],TblMili[[#This Row],[Train Wiz]]) - TblMili[[#This Row],[Release Draft]] + SUM(TblMili[[#This Row],[Release Unit 1]:[Release AM]]) - TblExplore[[#This Row],[Draftees (2)]]+MIN(13,days_late)*days_late_draftees</f>
        <v>100</v>
      </c>
      <c r="AB52" s="157"/>
      <c r="AC52" s="183">
        <f ca="1">(TblConstr[[#This Row],[Tot Smi]]+TblConstr[[#This Row],[Dest Smi]])/(TblConstr[[#This Row],[Land]]-TblExplore[[#This Row],[Land Bonus]]*20)</f>
        <v>0</v>
      </c>
      <c r="AD52" s="271"/>
      <c r="AE52" s="272">
        <f>TblMili[[#This Row],[Hour]]</f>
        <v>49</v>
      </c>
      <c r="AF52" s="141">
        <f ca="1">TblExplore[[#This Row],[Time]]</f>
        <v>44872.999999999884</v>
      </c>
      <c r="AG52" s="182"/>
      <c r="AH52" s="182"/>
      <c r="AI52" s="182"/>
      <c r="AJ52" s="182"/>
      <c r="AK52" s="182"/>
      <c r="AL52" s="182"/>
      <c r="AM52" s="182"/>
      <c r="AN52" s="182"/>
      <c r="AO52" s="145"/>
      <c r="AP52" s="97">
        <f ca="1">TblProd[[#This Row],[Platinum]]</f>
        <v>367281</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44872.999999999884</v>
      </c>
      <c r="AV52" s="97">
        <f ca="1">TblMili[[#This Row],[Draftees]]</f>
        <v>100</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1200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4]])*2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3</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300</v>
      </c>
      <c r="C53" s="160">
        <f ca="1">TblPop[[#This Row],[Military%]]</f>
        <v>0.12831479897348161</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550</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550</v>
      </c>
      <c r="X53" s="262">
        <f ca="1">TblConstr[[#This Row],[Land]]</f>
        <v>250</v>
      </c>
      <c r="Y53" s="265"/>
      <c r="Z53" s="270">
        <f ca="1">IF(TblMili[[#This Row],[Set]]&lt;&gt;"",TblMili[[#This Row],[Set]],OFFSET(TblMili[[#This Row],[Draftrate]],-1,0))</f>
        <v>0.35</v>
      </c>
      <c r="AA53" s="97">
        <f ca="1">start_draftees - SUM(TblMili[[#This Row],[Train Unit 1]:[Train Spies]],TblMili[[#This Row],[Train Wiz]]) - TblMili[[#This Row],[Release Draft]] + SUM(TblMili[[#This Row],[Release Unit 1]:[Release AM]]) - TblExplore[[#This Row],[Draftees (2)]]+MIN(13,days_late)*days_late_draftees</f>
        <v>100</v>
      </c>
      <c r="AB53" s="157"/>
      <c r="AC53" s="183">
        <f ca="1">(TblConstr[[#This Row],[Tot Smi]]+TblConstr[[#This Row],[Dest Smi]])/(TblConstr[[#This Row],[Land]]-TblExplore[[#This Row],[Land Bonus]]*20)</f>
        <v>0</v>
      </c>
      <c r="AD53" s="140"/>
      <c r="AE53" s="261">
        <f>TblMili[[#This Row],[Hour]]</f>
        <v>50</v>
      </c>
      <c r="AF53" s="141">
        <f ca="1">TblExplore[[#This Row],[Time]]</f>
        <v>44873.041666666548</v>
      </c>
      <c r="AG53" s="161"/>
      <c r="AH53" s="182"/>
      <c r="AI53" s="161"/>
      <c r="AJ53" s="182"/>
      <c r="AK53" s="182"/>
      <c r="AL53" s="182"/>
      <c r="AM53" s="182"/>
      <c r="AN53" s="182"/>
      <c r="AO53" s="145"/>
      <c r="AP53" s="97">
        <f ca="1">TblProd[[#This Row],[Platinum]]</f>
        <v>372951</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44873.041666666548</v>
      </c>
      <c r="AV53" s="97">
        <f ca="1">TblMili[[#This Row],[Draftees]]</f>
        <v>100</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1200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4]])*2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3</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300</v>
      </c>
      <c r="C54" s="160">
        <f ca="1">TblPop[[#This Row],[Military%]]</f>
        <v>0.12831479897348161</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550</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550</v>
      </c>
      <c r="X54" s="262">
        <f ca="1">TblConstr[[#This Row],[Land]]</f>
        <v>250</v>
      </c>
      <c r="Y54" s="265"/>
      <c r="Z54" s="270">
        <f ca="1">IF(TblMili[[#This Row],[Set]]&lt;&gt;"",TblMili[[#This Row],[Set]],OFFSET(TblMili[[#This Row],[Draftrate]],-1,0))</f>
        <v>0.35</v>
      </c>
      <c r="AA54" s="97">
        <f ca="1">start_draftees - SUM(TblMili[[#This Row],[Train Unit 1]:[Train Spies]],TblMili[[#This Row],[Train Wiz]]) - TblMili[[#This Row],[Release Draft]] + SUM(TblMili[[#This Row],[Release Unit 1]:[Release AM]]) - TblExplore[[#This Row],[Draftees (2)]]+MIN(13,days_late)*days_late_draftees</f>
        <v>100</v>
      </c>
      <c r="AB54" s="157"/>
      <c r="AC54" s="183">
        <f ca="1">(TblConstr[[#This Row],[Tot Smi]]+TblConstr[[#This Row],[Dest Smi]])/(TblConstr[[#This Row],[Land]]-TblExplore[[#This Row],[Land Bonus]]*20)</f>
        <v>0</v>
      </c>
      <c r="AD54" s="140"/>
      <c r="AE54" s="261">
        <f>TblMili[[#This Row],[Hour]]</f>
        <v>51</v>
      </c>
      <c r="AF54" s="141">
        <f ca="1">TblExplore[[#This Row],[Time]]</f>
        <v>44873.083333333212</v>
      </c>
      <c r="AG54" s="182"/>
      <c r="AH54" s="182"/>
      <c r="AI54" s="182"/>
      <c r="AJ54" s="182"/>
      <c r="AK54" s="182"/>
      <c r="AL54" s="182"/>
      <c r="AM54" s="182"/>
      <c r="AN54" s="182"/>
      <c r="AO54" s="145"/>
      <c r="AP54" s="97">
        <f ca="1">TblProd[[#This Row],[Platinum]]</f>
        <v>378621</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44873.083333333212</v>
      </c>
      <c r="AV54" s="97">
        <f ca="1">TblMili[[#This Row],[Draftees]]</f>
        <v>100</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1200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4]])*2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3</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300</v>
      </c>
      <c r="C55" s="160">
        <f ca="1">TblPop[[#This Row],[Military%]]</f>
        <v>0.12831479897348161</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550</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550</v>
      </c>
      <c r="X55" s="262">
        <f ca="1">TblConstr[[#This Row],[Land]]</f>
        <v>250</v>
      </c>
      <c r="Y55" s="265"/>
      <c r="Z55" s="270">
        <f ca="1">IF(TblMili[[#This Row],[Set]]&lt;&gt;"",TblMili[[#This Row],[Set]],OFFSET(TblMili[[#This Row],[Draftrate]],-1,0))</f>
        <v>0.35</v>
      </c>
      <c r="AA55" s="97">
        <f ca="1">start_draftees - SUM(TblMili[[#This Row],[Train Unit 1]:[Train Spies]],TblMili[[#This Row],[Train Wiz]]) - TblMili[[#This Row],[Release Draft]] + SUM(TblMili[[#This Row],[Release Unit 1]:[Release AM]]) - TblExplore[[#This Row],[Draftees (2)]]+MIN(13,days_late)*days_late_draftees</f>
        <v>100</v>
      </c>
      <c r="AB55" s="157"/>
      <c r="AC55" s="183">
        <f ca="1">(TblConstr[[#This Row],[Tot Smi]]+TblConstr[[#This Row],[Dest Smi]])/(TblConstr[[#This Row],[Land]]-TblExplore[[#This Row],[Land Bonus]]*20)</f>
        <v>0</v>
      </c>
      <c r="AD55" s="140"/>
      <c r="AE55" s="261">
        <f>TblMili[[#This Row],[Hour]]</f>
        <v>52</v>
      </c>
      <c r="AF55" s="141">
        <f ca="1">TblExplore[[#This Row],[Time]]</f>
        <v>44873.124999999876</v>
      </c>
      <c r="AG55" s="182"/>
      <c r="AH55" s="182"/>
      <c r="AI55" s="182"/>
      <c r="AJ55" s="182"/>
      <c r="AK55" s="182"/>
      <c r="AL55" s="182"/>
      <c r="AM55" s="182"/>
      <c r="AN55" s="182"/>
      <c r="AO55" s="145"/>
      <c r="AP55" s="97">
        <f ca="1">TblProd[[#This Row],[Platinum]]</f>
        <v>384291</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44873.124999999876</v>
      </c>
      <c r="AV55" s="97">
        <f ca="1">TblMili[[#This Row],[Draftees]]</f>
        <v>100</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1200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4]])*2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3</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300</v>
      </c>
      <c r="C56" s="160">
        <f ca="1">TblPop[[#This Row],[Military%]]</f>
        <v>0.12831479897348161</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550</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550</v>
      </c>
      <c r="X56" s="262">
        <f ca="1">TblConstr[[#This Row],[Land]]</f>
        <v>250</v>
      </c>
      <c r="Y56" s="265"/>
      <c r="Z56" s="270">
        <f ca="1">IF(TblMili[[#This Row],[Set]]&lt;&gt;"",TblMili[[#This Row],[Set]],OFFSET(TblMili[[#This Row],[Draftrate]],-1,0))</f>
        <v>0.35</v>
      </c>
      <c r="AA56" s="97">
        <f ca="1">start_draftees - SUM(TblMili[[#This Row],[Train Unit 1]:[Train Spies]],TblMili[[#This Row],[Train Wiz]]) - TblMili[[#This Row],[Release Draft]] + SUM(TblMili[[#This Row],[Release Unit 1]:[Release AM]]) - TblExplore[[#This Row],[Draftees (2)]]+MIN(13,days_late)*days_late_draftees</f>
        <v>100</v>
      </c>
      <c r="AB56" s="157"/>
      <c r="AC56" s="183">
        <f ca="1">(TblConstr[[#This Row],[Tot Smi]]+TblConstr[[#This Row],[Dest Smi]])/(TblConstr[[#This Row],[Land]]-TblExplore[[#This Row],[Land Bonus]]*20)</f>
        <v>0</v>
      </c>
      <c r="AD56" s="140"/>
      <c r="AE56" s="261">
        <f>TblMili[[#This Row],[Hour]]</f>
        <v>53</v>
      </c>
      <c r="AF56" s="141">
        <f ca="1">TblExplore[[#This Row],[Time]]</f>
        <v>44873.166666666541</v>
      </c>
      <c r="AG56" s="182"/>
      <c r="AH56" s="182"/>
      <c r="AI56" s="182"/>
      <c r="AJ56" s="182"/>
      <c r="AK56" s="182"/>
      <c r="AL56" s="182"/>
      <c r="AM56" s="182"/>
      <c r="AN56" s="182"/>
      <c r="AO56" s="145"/>
      <c r="AP56" s="97">
        <f ca="1">TblProd[[#This Row],[Platinum]]</f>
        <v>389961</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44873.166666666541</v>
      </c>
      <c r="AV56" s="97">
        <f ca="1">TblMili[[#This Row],[Draftees]]</f>
        <v>100</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1200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4]])*2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3</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300</v>
      </c>
      <c r="C57" s="160">
        <f ca="1">TblPop[[#This Row],[Military%]]</f>
        <v>0.12831479897348161</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550</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550</v>
      </c>
      <c r="X57" s="262">
        <f ca="1">TblConstr[[#This Row],[Land]]</f>
        <v>250</v>
      </c>
      <c r="Y57" s="265"/>
      <c r="Z57" s="270">
        <f ca="1">IF(TblMili[[#This Row],[Set]]&lt;&gt;"",TblMili[[#This Row],[Set]],OFFSET(TblMili[[#This Row],[Draftrate]],-1,0))</f>
        <v>0.35</v>
      </c>
      <c r="AA57" s="97">
        <f ca="1">start_draftees - SUM(TblMili[[#This Row],[Train Unit 1]:[Train Spies]],TblMili[[#This Row],[Train Wiz]]) - TblMili[[#This Row],[Release Draft]] + SUM(TblMili[[#This Row],[Release Unit 1]:[Release AM]]) - TblExplore[[#This Row],[Draftees (2)]]+MIN(13,days_late)*days_late_draftees</f>
        <v>100</v>
      </c>
      <c r="AB57" s="157"/>
      <c r="AC57" s="183">
        <f ca="1">(TblConstr[[#This Row],[Tot Smi]]+TblConstr[[#This Row],[Dest Smi]])/(TblConstr[[#This Row],[Land]]-TblExplore[[#This Row],[Land Bonus]]*20)</f>
        <v>0</v>
      </c>
      <c r="AD57" s="140"/>
      <c r="AE57" s="261">
        <f>TblMili[[#This Row],[Hour]]</f>
        <v>54</v>
      </c>
      <c r="AF57" s="141">
        <f ca="1">TblExplore[[#This Row],[Time]]</f>
        <v>44873.208333333205</v>
      </c>
      <c r="AG57" s="182"/>
      <c r="AH57" s="182"/>
      <c r="AI57" s="182"/>
      <c r="AJ57" s="182"/>
      <c r="AK57" s="182"/>
      <c r="AL57" s="182"/>
      <c r="AM57" s="182"/>
      <c r="AN57" s="182"/>
      <c r="AO57" s="145"/>
      <c r="AP57" s="97">
        <f ca="1">TblProd[[#This Row],[Platinum]]</f>
        <v>395631</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44873.208333333205</v>
      </c>
      <c r="AV57" s="97">
        <f ca="1">TblMili[[#This Row],[Draftees]]</f>
        <v>100</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1200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4]])*2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3</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300</v>
      </c>
      <c r="C58" s="160">
        <f ca="1">TblPop[[#This Row],[Military%]]</f>
        <v>0.12831479897348161</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550</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550</v>
      </c>
      <c r="X58" s="262">
        <f ca="1">TblConstr[[#This Row],[Land]]</f>
        <v>250</v>
      </c>
      <c r="Y58" s="265"/>
      <c r="Z58" s="270">
        <f ca="1">IF(TblMili[[#This Row],[Set]]&lt;&gt;"",TblMili[[#This Row],[Set]],OFFSET(TblMili[[#This Row],[Draftrate]],-1,0))</f>
        <v>0.35</v>
      </c>
      <c r="AA58" s="97">
        <f ca="1">start_draftees - SUM(TblMili[[#This Row],[Train Unit 1]:[Train Spies]],TblMili[[#This Row],[Train Wiz]]) - TblMili[[#This Row],[Release Draft]] + SUM(TblMili[[#This Row],[Release Unit 1]:[Release AM]]) - TblExplore[[#This Row],[Draftees (2)]]+MIN(13,days_late)*days_late_draftees</f>
        <v>100</v>
      </c>
      <c r="AB58" s="157"/>
      <c r="AC58" s="183">
        <f ca="1">(TblConstr[[#This Row],[Tot Smi]]+TblConstr[[#This Row],[Dest Smi]])/(TblConstr[[#This Row],[Land]]-TblExplore[[#This Row],[Land Bonus]]*20)</f>
        <v>0</v>
      </c>
      <c r="AD58" s="140"/>
      <c r="AE58" s="261">
        <f>TblMili[[#This Row],[Hour]]</f>
        <v>55</v>
      </c>
      <c r="AF58" s="141">
        <f ca="1">TblExplore[[#This Row],[Time]]</f>
        <v>44873.249999999869</v>
      </c>
      <c r="AG58" s="182"/>
      <c r="AH58" s="182"/>
      <c r="AI58" s="182"/>
      <c r="AJ58" s="182"/>
      <c r="AK58" s="182"/>
      <c r="AL58" s="182"/>
      <c r="AM58" s="182"/>
      <c r="AN58" s="182"/>
      <c r="AO58" s="145"/>
      <c r="AP58" s="97">
        <f ca="1">TblProd[[#This Row],[Platinum]]</f>
        <v>401301</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44873.249999999869</v>
      </c>
      <c r="AV58" s="97">
        <f ca="1">TblMili[[#This Row],[Draftees]]</f>
        <v>100</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1200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4]])*2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3</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300</v>
      </c>
      <c r="C59" s="160">
        <f ca="1">TblPop[[#This Row],[Military%]]</f>
        <v>0.12831479897348161</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550</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550</v>
      </c>
      <c r="X59" s="262">
        <f ca="1">TblConstr[[#This Row],[Land]]</f>
        <v>250</v>
      </c>
      <c r="Y59" s="265"/>
      <c r="Z59" s="270">
        <f ca="1">IF(TblMili[[#This Row],[Set]]&lt;&gt;"",TblMili[[#This Row],[Set]],OFFSET(TblMili[[#This Row],[Draftrate]],-1,0))</f>
        <v>0.35</v>
      </c>
      <c r="AA59" s="97">
        <f ca="1">start_draftees - SUM(TblMili[[#This Row],[Train Unit 1]:[Train Spies]],TblMili[[#This Row],[Train Wiz]]) - TblMili[[#This Row],[Release Draft]] + SUM(TblMili[[#This Row],[Release Unit 1]:[Release AM]]) - TblExplore[[#This Row],[Draftees (2)]]+MIN(13,days_late)*days_late_draftees</f>
        <v>100</v>
      </c>
      <c r="AB59" s="157"/>
      <c r="AC59" s="183">
        <f ca="1">(TblConstr[[#This Row],[Tot Smi]]+TblConstr[[#This Row],[Dest Smi]])/(TblConstr[[#This Row],[Land]]-TblExplore[[#This Row],[Land Bonus]]*20)</f>
        <v>0</v>
      </c>
      <c r="AD59" s="140"/>
      <c r="AE59" s="261">
        <f>TblMili[[#This Row],[Hour]]</f>
        <v>56</v>
      </c>
      <c r="AF59" s="141">
        <f ca="1">TblExplore[[#This Row],[Time]]</f>
        <v>44873.291666666533</v>
      </c>
      <c r="AG59" s="182"/>
      <c r="AH59" s="182"/>
      <c r="AI59" s="182"/>
      <c r="AJ59" s="182"/>
      <c r="AK59" s="182"/>
      <c r="AL59" s="182"/>
      <c r="AM59" s="182"/>
      <c r="AN59" s="182"/>
      <c r="AO59" s="145"/>
      <c r="AP59" s="97">
        <f ca="1">TblProd[[#This Row],[Platinum]]</f>
        <v>406971</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44873.291666666533</v>
      </c>
      <c r="AV59" s="97">
        <f ca="1">TblMili[[#This Row],[Draftees]]</f>
        <v>100</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1200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4]])*2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3</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300</v>
      </c>
      <c r="C60" s="160">
        <f ca="1">TblPop[[#This Row],[Military%]]</f>
        <v>0.12831479897348161</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550</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550</v>
      </c>
      <c r="X60" s="262">
        <f ca="1">TblConstr[[#This Row],[Land]]</f>
        <v>250</v>
      </c>
      <c r="Y60" s="265"/>
      <c r="Z60" s="270">
        <f ca="1">IF(TblMili[[#This Row],[Set]]&lt;&gt;"",TblMili[[#This Row],[Set]],OFFSET(TblMili[[#This Row],[Draftrate]],-1,0))</f>
        <v>0.35</v>
      </c>
      <c r="AA60" s="97">
        <f ca="1">start_draftees - SUM(TblMili[[#This Row],[Train Unit 1]:[Train Spies]],TblMili[[#This Row],[Train Wiz]]) - TblMili[[#This Row],[Release Draft]] + SUM(TblMili[[#This Row],[Release Unit 1]:[Release AM]]) - TblExplore[[#This Row],[Draftees (2)]]+MIN(13,days_late)*days_late_draftees</f>
        <v>100</v>
      </c>
      <c r="AB60" s="157"/>
      <c r="AC60" s="183">
        <f ca="1">(TblConstr[[#This Row],[Tot Smi]]+TblConstr[[#This Row],[Dest Smi]])/(TblConstr[[#This Row],[Land]]-TblExplore[[#This Row],[Land Bonus]]*20)</f>
        <v>0</v>
      </c>
      <c r="AD60" s="140"/>
      <c r="AE60" s="261">
        <f>TblMili[[#This Row],[Hour]]</f>
        <v>57</v>
      </c>
      <c r="AF60" s="141">
        <f ca="1">TblExplore[[#This Row],[Time]]</f>
        <v>44873.333333333198</v>
      </c>
      <c r="AG60" s="182"/>
      <c r="AH60" s="182"/>
      <c r="AI60" s="182"/>
      <c r="AJ60" s="182"/>
      <c r="AK60" s="182"/>
      <c r="AL60" s="182"/>
      <c r="AM60" s="182"/>
      <c r="AN60" s="182"/>
      <c r="AO60" s="145"/>
      <c r="AP60" s="97">
        <f ca="1">TblProd[[#This Row],[Platinum]]</f>
        <v>412641</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44873.333333333198</v>
      </c>
      <c r="AV60" s="97">
        <f ca="1">TblMili[[#This Row],[Draftees]]</f>
        <v>100</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1200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4]])*2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3</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300</v>
      </c>
      <c r="C61" s="160">
        <f ca="1">TblPop[[#This Row],[Military%]]</f>
        <v>0.12831479897348161</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550</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550</v>
      </c>
      <c r="X61" s="262">
        <f ca="1">TblConstr[[#This Row],[Land]]</f>
        <v>250</v>
      </c>
      <c r="Y61" s="265"/>
      <c r="Z61" s="270">
        <f ca="1">IF(TblMili[[#This Row],[Set]]&lt;&gt;"",TblMili[[#This Row],[Set]],OFFSET(TblMili[[#This Row],[Draftrate]],-1,0))</f>
        <v>0.35</v>
      </c>
      <c r="AA61" s="97">
        <f ca="1">start_draftees - SUM(TblMili[[#This Row],[Train Unit 1]:[Train Spies]],TblMili[[#This Row],[Train Wiz]]) - TblMili[[#This Row],[Release Draft]] + SUM(TblMili[[#This Row],[Release Unit 1]:[Release AM]]) - TblExplore[[#This Row],[Draftees (2)]]+MIN(13,days_late)*days_late_draftees</f>
        <v>100</v>
      </c>
      <c r="AB61" s="157"/>
      <c r="AC61" s="183">
        <f ca="1">(TblConstr[[#This Row],[Tot Smi]]+TblConstr[[#This Row],[Dest Smi]])/(TblConstr[[#This Row],[Land]]-TblExplore[[#This Row],[Land Bonus]]*20)</f>
        <v>0</v>
      </c>
      <c r="AD61" s="140"/>
      <c r="AE61" s="261">
        <f>TblMili[[#This Row],[Hour]]</f>
        <v>58</v>
      </c>
      <c r="AF61" s="141">
        <f ca="1">TblExplore[[#This Row],[Time]]</f>
        <v>44873.374999999862</v>
      </c>
      <c r="AG61" s="182"/>
      <c r="AH61" s="182"/>
      <c r="AI61" s="182"/>
      <c r="AJ61" s="182"/>
      <c r="AK61" s="182"/>
      <c r="AL61" s="182"/>
      <c r="AM61" s="182"/>
      <c r="AN61" s="182"/>
      <c r="AO61" s="145"/>
      <c r="AP61" s="97">
        <f ca="1">TblProd[[#This Row],[Platinum]]</f>
        <v>418311</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44873.374999999862</v>
      </c>
      <c r="AV61" s="97">
        <f ca="1">TblMili[[#This Row],[Draftees]]</f>
        <v>100</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1200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4]])*2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3</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300</v>
      </c>
      <c r="C62" s="160">
        <f ca="1">TblPop[[#This Row],[Military%]]</f>
        <v>0.12831479897348161</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550</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550</v>
      </c>
      <c r="X62" s="262">
        <f ca="1">TblConstr[[#This Row],[Land]]</f>
        <v>250</v>
      </c>
      <c r="Y62" s="265"/>
      <c r="Z62" s="270">
        <f ca="1">IF(TblMili[[#This Row],[Set]]&lt;&gt;"",TblMili[[#This Row],[Set]],OFFSET(TblMili[[#This Row],[Draftrate]],-1,0))</f>
        <v>0.35</v>
      </c>
      <c r="AA62" s="97">
        <f ca="1">start_draftees - SUM(TblMili[[#This Row],[Train Unit 1]:[Train Spies]],TblMili[[#This Row],[Train Wiz]]) - TblMili[[#This Row],[Release Draft]] + SUM(TblMili[[#This Row],[Release Unit 1]:[Release AM]]) - TblExplore[[#This Row],[Draftees (2)]]+MIN(13,days_late)*days_late_draftees</f>
        <v>100</v>
      </c>
      <c r="AB62" s="157"/>
      <c r="AC62" s="183">
        <f ca="1">(TblConstr[[#This Row],[Tot Smi]]+TblConstr[[#This Row],[Dest Smi]])/(TblConstr[[#This Row],[Land]]-TblExplore[[#This Row],[Land Bonus]]*20)</f>
        <v>0</v>
      </c>
      <c r="AD62" s="140"/>
      <c r="AE62" s="261">
        <f>TblMili[[#This Row],[Hour]]</f>
        <v>59</v>
      </c>
      <c r="AF62" s="141">
        <f ca="1">TblExplore[[#This Row],[Time]]</f>
        <v>44873.416666666526</v>
      </c>
      <c r="AG62" s="182"/>
      <c r="AH62" s="182"/>
      <c r="AI62" s="182"/>
      <c r="AJ62" s="182"/>
      <c r="AK62" s="182"/>
      <c r="AL62" s="182"/>
      <c r="AM62" s="182"/>
      <c r="AN62" s="182"/>
      <c r="AO62" s="145"/>
      <c r="AP62" s="97">
        <f ca="1">TblProd[[#This Row],[Platinum]]</f>
        <v>423981</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44873.416666666526</v>
      </c>
      <c r="AV62" s="97">
        <f ca="1">TblMili[[#This Row],[Draftees]]</f>
        <v>100</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1200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4]])*2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3</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300</v>
      </c>
      <c r="C63" s="160">
        <f ca="1">TblPop[[#This Row],[Military%]]</f>
        <v>0.12831479897348161</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550</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550</v>
      </c>
      <c r="X63" s="262">
        <f ca="1">TblConstr[[#This Row],[Land]]</f>
        <v>250</v>
      </c>
      <c r="Y63" s="265"/>
      <c r="Z63" s="270">
        <f ca="1">IF(TblMili[[#This Row],[Set]]&lt;&gt;"",TblMili[[#This Row],[Set]],OFFSET(TblMili[[#This Row],[Draftrate]],-1,0))</f>
        <v>0.35</v>
      </c>
      <c r="AA63" s="97">
        <f ca="1">start_draftees - SUM(TblMili[[#This Row],[Train Unit 1]:[Train Spies]],TblMili[[#This Row],[Train Wiz]]) - TblMili[[#This Row],[Release Draft]] + SUM(TblMili[[#This Row],[Release Unit 1]:[Release AM]]) - TblExplore[[#This Row],[Draftees (2)]]+MIN(13,days_late)*days_late_draftees</f>
        <v>100</v>
      </c>
      <c r="AB63" s="157"/>
      <c r="AC63" s="183">
        <f ca="1">(TblConstr[[#This Row],[Tot Smi]]+TblConstr[[#This Row],[Dest Smi]])/(TblConstr[[#This Row],[Land]]-TblExplore[[#This Row],[Land Bonus]]*20)</f>
        <v>0</v>
      </c>
      <c r="AD63" s="140"/>
      <c r="AE63" s="261">
        <f>TblMili[[#This Row],[Hour]]</f>
        <v>60</v>
      </c>
      <c r="AF63" s="141">
        <f ca="1">TblExplore[[#This Row],[Time]]</f>
        <v>44873.45833333319</v>
      </c>
      <c r="AG63" s="182"/>
      <c r="AH63" s="182"/>
      <c r="AI63" s="182"/>
      <c r="AJ63" s="182"/>
      <c r="AK63" s="182"/>
      <c r="AL63" s="182"/>
      <c r="AM63" s="182"/>
      <c r="AN63" s="182"/>
      <c r="AO63" s="145"/>
      <c r="AP63" s="97">
        <f ca="1">TblProd[[#This Row],[Platinum]]</f>
        <v>429651</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44873.45833333319</v>
      </c>
      <c r="AV63" s="97">
        <f ca="1">TblMili[[#This Row],[Draftees]]</f>
        <v>100</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1200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4]])*2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3</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300</v>
      </c>
      <c r="C64" s="160">
        <f ca="1">TblPop[[#This Row],[Military%]]</f>
        <v>0.12831479897348161</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550</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550</v>
      </c>
      <c r="X64" s="262">
        <f ca="1">TblConstr[[#This Row],[Land]]</f>
        <v>250</v>
      </c>
      <c r="Y64" s="265"/>
      <c r="Z64" s="270">
        <f ca="1">IF(TblMili[[#This Row],[Set]]&lt;&gt;"",TblMili[[#This Row],[Set]],OFFSET(TblMili[[#This Row],[Draftrate]],-1,0))</f>
        <v>0.35</v>
      </c>
      <c r="AA64" s="97">
        <f ca="1">start_draftees - SUM(TblMili[[#This Row],[Train Unit 1]:[Train Spies]],TblMili[[#This Row],[Train Wiz]]) - TblMili[[#This Row],[Release Draft]] + SUM(TblMili[[#This Row],[Release Unit 1]:[Release AM]]) - TblExplore[[#This Row],[Draftees (2)]]+MIN(13,days_late)*days_late_draftees</f>
        <v>100</v>
      </c>
      <c r="AB64" s="157"/>
      <c r="AC64" s="183">
        <f ca="1">(TblConstr[[#This Row],[Tot Smi]]+TblConstr[[#This Row],[Dest Smi]])/(TblConstr[[#This Row],[Land]]-TblExplore[[#This Row],[Land Bonus]]*20)</f>
        <v>0</v>
      </c>
      <c r="AD64" s="261"/>
      <c r="AE64" s="261">
        <f>TblMili[[#This Row],[Hour]]</f>
        <v>61</v>
      </c>
      <c r="AF64" s="141">
        <f ca="1">TblExplore[[#This Row],[Time]]</f>
        <v>44873.499999999854</v>
      </c>
      <c r="AG64" s="182"/>
      <c r="AH64" s="161"/>
      <c r="AI64" s="182"/>
      <c r="AJ64" s="161"/>
      <c r="AK64" s="161"/>
      <c r="AL64" s="161"/>
      <c r="AM64" s="161"/>
      <c r="AN64" s="182"/>
      <c r="AO64" s="145"/>
      <c r="AP64" s="97">
        <f ca="1">TblProd[[#This Row],[Platinum]]</f>
        <v>435321</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44873.499999999854</v>
      </c>
      <c r="AV64" s="97">
        <f ca="1">TblMili[[#This Row],[Draftees]]</f>
        <v>100</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1200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4]])*2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3</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300</v>
      </c>
      <c r="C65" s="160">
        <f ca="1">TblPop[[#This Row],[Military%]]</f>
        <v>0.12831479897348161</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550</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550</v>
      </c>
      <c r="X65" s="262">
        <f ca="1">TblConstr[[#This Row],[Land]]</f>
        <v>250</v>
      </c>
      <c r="Y65" s="265"/>
      <c r="Z65" s="270">
        <f ca="1">IF(TblMili[[#This Row],[Set]]&lt;&gt;"",TblMili[[#This Row],[Set]],OFFSET(TblMili[[#This Row],[Draftrate]],-1,0))</f>
        <v>0.35</v>
      </c>
      <c r="AA65" s="97">
        <f ca="1">start_draftees - SUM(TblMili[[#This Row],[Train Unit 1]:[Train Spies]],TblMili[[#This Row],[Train Wiz]]) - TblMili[[#This Row],[Release Draft]] + SUM(TblMili[[#This Row],[Release Unit 1]:[Release AM]]) - TblExplore[[#This Row],[Draftees (2)]]+MIN(13,days_late)*days_late_draftees</f>
        <v>100</v>
      </c>
      <c r="AB65" s="157"/>
      <c r="AC65" s="183">
        <f ca="1">(TblConstr[[#This Row],[Tot Smi]]+TblConstr[[#This Row],[Dest Smi]])/(TblConstr[[#This Row],[Land]]-TblExplore[[#This Row],[Land Bonus]]*20)</f>
        <v>0</v>
      </c>
      <c r="AD65" s="140"/>
      <c r="AE65" s="261">
        <f>TblMili[[#This Row],[Hour]]</f>
        <v>62</v>
      </c>
      <c r="AF65" s="141">
        <f ca="1">TblExplore[[#This Row],[Time]]</f>
        <v>44873.541666666519</v>
      </c>
      <c r="AG65" s="161"/>
      <c r="AH65" s="182"/>
      <c r="AI65" s="182"/>
      <c r="AJ65" s="182"/>
      <c r="AK65" s="182"/>
      <c r="AL65" s="182"/>
      <c r="AM65" s="182"/>
      <c r="AN65" s="182"/>
      <c r="AO65" s="145"/>
      <c r="AP65" s="97">
        <f ca="1">TblProd[[#This Row],[Platinum]]</f>
        <v>440991</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44873.541666666519</v>
      </c>
      <c r="AV65" s="97">
        <f ca="1">TblMili[[#This Row],[Draftees]]</f>
        <v>100</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1200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4]])*2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3</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300</v>
      </c>
      <c r="C66" s="160">
        <f ca="1">TblPop[[#This Row],[Military%]]</f>
        <v>0.12831479897348161</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550</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550</v>
      </c>
      <c r="X66" s="262">
        <f ca="1">TblConstr[[#This Row],[Land]]</f>
        <v>250</v>
      </c>
      <c r="Y66" s="265"/>
      <c r="Z66" s="270">
        <f ca="1">IF(TblMili[[#This Row],[Set]]&lt;&gt;"",TblMili[[#This Row],[Set]],OFFSET(TblMili[[#This Row],[Draftrate]],-1,0))</f>
        <v>0.35</v>
      </c>
      <c r="AA66" s="97">
        <f ca="1">start_draftees - SUM(TblMili[[#This Row],[Train Unit 1]:[Train Spies]],TblMili[[#This Row],[Train Wiz]]) - TblMili[[#This Row],[Release Draft]] + SUM(TblMili[[#This Row],[Release Unit 1]:[Release AM]]) - TblExplore[[#This Row],[Draftees (2)]]+MIN(13,days_late)*days_late_draftees</f>
        <v>100</v>
      </c>
      <c r="AB66" s="157"/>
      <c r="AC66" s="183">
        <f ca="1">(TblConstr[[#This Row],[Tot Smi]]+TblConstr[[#This Row],[Dest Smi]])/(TblConstr[[#This Row],[Land]]-TblExplore[[#This Row],[Land Bonus]]*20)</f>
        <v>0</v>
      </c>
      <c r="AD66" s="140"/>
      <c r="AE66" s="261">
        <f>TblMili[[#This Row],[Hour]]</f>
        <v>63</v>
      </c>
      <c r="AF66" s="141">
        <f ca="1">TblExplore[[#This Row],[Time]]</f>
        <v>44873.583333333183</v>
      </c>
      <c r="AG66" s="182"/>
      <c r="AH66" s="182"/>
      <c r="AI66" s="182"/>
      <c r="AJ66" s="182"/>
      <c r="AK66" s="182"/>
      <c r="AL66" s="182"/>
      <c r="AM66" s="182"/>
      <c r="AN66" s="182"/>
      <c r="AO66" s="145"/>
      <c r="AP66" s="97">
        <f ca="1">TblProd[[#This Row],[Platinum]]</f>
        <v>446661</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44873.583333333183</v>
      </c>
      <c r="AV66" s="97">
        <f ca="1">TblMili[[#This Row],[Draftees]]</f>
        <v>100</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1200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4]])*2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3</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300</v>
      </c>
      <c r="C67" s="160">
        <f ca="1">TblPop[[#This Row],[Military%]]</f>
        <v>0.12831479897348161</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550</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550</v>
      </c>
      <c r="X67" s="262">
        <f ca="1">TblConstr[[#This Row],[Land]]</f>
        <v>250</v>
      </c>
      <c r="Y67" s="265"/>
      <c r="Z67" s="270">
        <f ca="1">IF(TblMili[[#This Row],[Set]]&lt;&gt;"",TblMili[[#This Row],[Set]],OFFSET(TblMili[[#This Row],[Draftrate]],-1,0))</f>
        <v>0.35</v>
      </c>
      <c r="AA67" s="97">
        <f ca="1">start_draftees - SUM(TblMili[[#This Row],[Train Unit 1]:[Train Spies]],TblMili[[#This Row],[Train Wiz]]) - TblMili[[#This Row],[Release Draft]] + SUM(TblMili[[#This Row],[Release Unit 1]:[Release AM]]) - TblExplore[[#This Row],[Draftees (2)]]+MIN(13,days_late)*days_late_draftees</f>
        <v>100</v>
      </c>
      <c r="AB67" s="157"/>
      <c r="AC67" s="183">
        <f ca="1">(TblConstr[[#This Row],[Tot Smi]]+TblConstr[[#This Row],[Dest Smi]])/(TblConstr[[#This Row],[Land]]-TblExplore[[#This Row],[Land Bonus]]*20)</f>
        <v>0</v>
      </c>
      <c r="AD67" s="140"/>
      <c r="AE67" s="261">
        <f>TblMili[[#This Row],[Hour]]</f>
        <v>64</v>
      </c>
      <c r="AF67" s="141">
        <f ca="1">TblExplore[[#This Row],[Time]]</f>
        <v>44873.624999999847</v>
      </c>
      <c r="AG67" s="161"/>
      <c r="AH67" s="161"/>
      <c r="AI67" s="182"/>
      <c r="AJ67" s="182"/>
      <c r="AK67" s="182"/>
      <c r="AL67" s="182"/>
      <c r="AM67" s="182"/>
      <c r="AN67" s="182"/>
      <c r="AO67" s="145"/>
      <c r="AP67" s="97">
        <f ca="1">TblProd[[#This Row],[Platinum]]</f>
        <v>452331</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44873.624999999847</v>
      </c>
      <c r="AV67" s="97">
        <f ca="1">TblMili[[#This Row],[Draftees]]</f>
        <v>100</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1200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4]])*2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3</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300</v>
      </c>
      <c r="C68" s="160">
        <f ca="1">TblPop[[#This Row],[Military%]]</f>
        <v>0.12831479897348161</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550</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550</v>
      </c>
      <c r="X68" s="262">
        <f ca="1">TblConstr[[#This Row],[Land]]</f>
        <v>250</v>
      </c>
      <c r="Y68" s="265"/>
      <c r="Z68" s="270">
        <f ca="1">IF(TblMili[[#This Row],[Set]]&lt;&gt;"",TblMili[[#This Row],[Set]],OFFSET(TblMili[[#This Row],[Draftrate]],-1,0))</f>
        <v>0.35</v>
      </c>
      <c r="AA68" s="97">
        <f ca="1">start_draftees - SUM(TblMili[[#This Row],[Train Unit 1]:[Train Spies]],TblMili[[#This Row],[Train Wiz]]) - TblMili[[#This Row],[Release Draft]] + SUM(TblMili[[#This Row],[Release Unit 1]:[Release AM]]) - TblExplore[[#This Row],[Draftees (2)]]+MIN(13,days_late)*days_late_draftees</f>
        <v>100</v>
      </c>
      <c r="AB68" s="157"/>
      <c r="AC68" s="183">
        <f ca="1">(TblConstr[[#This Row],[Tot Smi]]+TblConstr[[#This Row],[Dest Smi]])/(TblConstr[[#This Row],[Land]]-TblExplore[[#This Row],[Land Bonus]]*20)</f>
        <v>0</v>
      </c>
      <c r="AD68" s="140"/>
      <c r="AE68" s="261">
        <f>TblMili[[#This Row],[Hour]]</f>
        <v>65</v>
      </c>
      <c r="AF68" s="141">
        <f ca="1">TblExplore[[#This Row],[Time]]</f>
        <v>44873.666666666511</v>
      </c>
      <c r="AG68" s="161"/>
      <c r="AH68" s="161"/>
      <c r="AI68" s="182"/>
      <c r="AJ68" s="182"/>
      <c r="AK68" s="182"/>
      <c r="AL68" s="182"/>
      <c r="AM68" s="182"/>
      <c r="AN68" s="182"/>
      <c r="AO68" s="145"/>
      <c r="AP68" s="97">
        <f ca="1">TblProd[[#This Row],[Platinum]]</f>
        <v>458001</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44873.666666666511</v>
      </c>
      <c r="AV68" s="97">
        <f ca="1">TblMili[[#This Row],[Draftees]]</f>
        <v>100</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1200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4]])*2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3</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300</v>
      </c>
      <c r="C69" s="160">
        <f ca="1">TblPop[[#This Row],[Military%]]</f>
        <v>0.12831479897348161</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550</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550</v>
      </c>
      <c r="X69" s="262">
        <f ca="1">TblConstr[[#This Row],[Land]]</f>
        <v>250</v>
      </c>
      <c r="Y69" s="265"/>
      <c r="Z69" s="270">
        <f ca="1">IF(TblMili[[#This Row],[Set]]&lt;&gt;"",TblMili[[#This Row],[Set]],OFFSET(TblMili[[#This Row],[Draftrate]],-1,0))</f>
        <v>0.35</v>
      </c>
      <c r="AA69" s="97">
        <f ca="1">start_draftees - SUM(TblMili[[#This Row],[Train Unit 1]:[Train Spies]],TblMili[[#This Row],[Train Wiz]]) - TblMili[[#This Row],[Release Draft]] + SUM(TblMili[[#This Row],[Release Unit 1]:[Release AM]]) - TblExplore[[#This Row],[Draftees (2)]]+MIN(13,days_late)*days_late_draftees</f>
        <v>100</v>
      </c>
      <c r="AB69" s="157"/>
      <c r="AC69" s="183">
        <f ca="1">(TblConstr[[#This Row],[Tot Smi]]+TblConstr[[#This Row],[Dest Smi]])/(TblConstr[[#This Row],[Land]]-TblExplore[[#This Row],[Land Bonus]]*20)</f>
        <v>0</v>
      </c>
      <c r="AD69" s="140"/>
      <c r="AE69" s="261">
        <f>TblMili[[#This Row],[Hour]]</f>
        <v>66</v>
      </c>
      <c r="AF69" s="141">
        <f ca="1">TblExplore[[#This Row],[Time]]</f>
        <v>44873.708333333176</v>
      </c>
      <c r="AG69" s="182"/>
      <c r="AH69" s="161"/>
      <c r="AI69" s="182"/>
      <c r="AJ69" s="182"/>
      <c r="AK69" s="182"/>
      <c r="AL69" s="182"/>
      <c r="AM69" s="182"/>
      <c r="AN69" s="182"/>
      <c r="AO69" s="145"/>
      <c r="AP69" s="97">
        <f ca="1">TblProd[[#This Row],[Platinum]]</f>
        <v>463671</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44873.708333333176</v>
      </c>
      <c r="AV69" s="97">
        <f ca="1">TblMili[[#This Row],[Draftees]]</f>
        <v>100</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1200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4]])*2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3</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300</v>
      </c>
      <c r="C70" s="160">
        <f ca="1">TblPop[[#This Row],[Military%]]</f>
        <v>0.12831479897348161</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550</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550</v>
      </c>
      <c r="X70" s="262">
        <f ca="1">TblConstr[[#This Row],[Land]]</f>
        <v>250</v>
      </c>
      <c r="Y70" s="265"/>
      <c r="Z70" s="270">
        <f ca="1">IF(TblMili[[#This Row],[Set]]&lt;&gt;"",TblMili[[#This Row],[Set]],OFFSET(TblMili[[#This Row],[Draftrate]],-1,0))</f>
        <v>0.35</v>
      </c>
      <c r="AA70" s="97">
        <f ca="1">start_draftees - SUM(TblMili[[#This Row],[Train Unit 1]:[Train Spies]],TblMili[[#This Row],[Train Wiz]]) - TblMili[[#This Row],[Release Draft]] + SUM(TblMili[[#This Row],[Release Unit 1]:[Release AM]]) - TblExplore[[#This Row],[Draftees (2)]]+MIN(13,days_late)*days_late_draftees</f>
        <v>100</v>
      </c>
      <c r="AB70" s="157"/>
      <c r="AC70" s="183">
        <f ca="1">(TblConstr[[#This Row],[Tot Smi]]+TblConstr[[#This Row],[Dest Smi]])/(TblConstr[[#This Row],[Land]]-TblExplore[[#This Row],[Land Bonus]]*20)</f>
        <v>0</v>
      </c>
      <c r="AD70" s="140"/>
      <c r="AE70" s="261">
        <f>TblMili[[#This Row],[Hour]]</f>
        <v>67</v>
      </c>
      <c r="AF70" s="141">
        <f ca="1">TblExplore[[#This Row],[Time]]</f>
        <v>44873.74999999984</v>
      </c>
      <c r="AG70" s="182"/>
      <c r="AH70" s="161"/>
      <c r="AI70" s="182"/>
      <c r="AJ70" s="182"/>
      <c r="AK70" s="182"/>
      <c r="AL70" s="182"/>
      <c r="AM70" s="182"/>
      <c r="AN70" s="182"/>
      <c r="AO70" s="145"/>
      <c r="AP70" s="97">
        <f ca="1">TblProd[[#This Row],[Platinum]]</f>
        <v>469341</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44873.74999999984</v>
      </c>
      <c r="AV70" s="97">
        <f ca="1">TblMili[[#This Row],[Draftees]]</f>
        <v>100</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1200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4]])*2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3</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300</v>
      </c>
      <c r="C71" s="160">
        <f ca="1">TblPop[[#This Row],[Military%]]</f>
        <v>0.12831479897348161</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550</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550</v>
      </c>
      <c r="X71" s="262">
        <f ca="1">TblConstr[[#This Row],[Land]]</f>
        <v>250</v>
      </c>
      <c r="Y71" s="265"/>
      <c r="Z71" s="270">
        <f ca="1">IF(TblMili[[#This Row],[Set]]&lt;&gt;"",TblMili[[#This Row],[Set]],OFFSET(TblMili[[#This Row],[Draftrate]],-1,0))</f>
        <v>0.35</v>
      </c>
      <c r="AA71" s="97">
        <f ca="1">start_draftees - SUM(TblMili[[#This Row],[Train Unit 1]:[Train Spies]],TblMili[[#This Row],[Train Wiz]]) - TblMili[[#This Row],[Release Draft]] + SUM(TblMili[[#This Row],[Release Unit 1]:[Release AM]]) - TblExplore[[#This Row],[Draftees (2)]]+MIN(13,days_late)*days_late_draftees</f>
        <v>100</v>
      </c>
      <c r="AB71" s="157"/>
      <c r="AC71" s="183">
        <f ca="1">(TblConstr[[#This Row],[Tot Smi]]+TblConstr[[#This Row],[Dest Smi]])/(TblConstr[[#This Row],[Land]]-TblExplore[[#This Row],[Land Bonus]]*20)</f>
        <v>0</v>
      </c>
      <c r="AD71" s="140"/>
      <c r="AE71" s="261">
        <f>TblMili[[#This Row],[Hour]]</f>
        <v>68</v>
      </c>
      <c r="AF71" s="141">
        <f ca="1">TblExplore[[#This Row],[Time]]</f>
        <v>44873.791666666504</v>
      </c>
      <c r="AG71" s="182"/>
      <c r="AH71" s="161"/>
      <c r="AI71" s="182"/>
      <c r="AJ71" s="182"/>
      <c r="AK71" s="182"/>
      <c r="AL71" s="182"/>
      <c r="AM71" s="182"/>
      <c r="AN71" s="182"/>
      <c r="AO71" s="145"/>
      <c r="AP71" s="97">
        <f ca="1">TblProd[[#This Row],[Platinum]]</f>
        <v>475011</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44873.791666666504</v>
      </c>
      <c r="AV71" s="97">
        <f ca="1">TblMili[[#This Row],[Draftees]]</f>
        <v>100</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1200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4]])*2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3</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300</v>
      </c>
      <c r="C72" s="160">
        <f ca="1">TblPop[[#This Row],[Military%]]</f>
        <v>0.12831479897348161</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550</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550</v>
      </c>
      <c r="X72" s="262">
        <f ca="1">TblConstr[[#This Row],[Land]]</f>
        <v>250</v>
      </c>
      <c r="Y72" s="265"/>
      <c r="Z72" s="270">
        <f ca="1">IF(TblMili[[#This Row],[Set]]&lt;&gt;"",TblMili[[#This Row],[Set]],OFFSET(TblMili[[#This Row],[Draftrate]],-1,0))</f>
        <v>0.35</v>
      </c>
      <c r="AA72" s="97">
        <f ca="1">start_draftees - SUM(TblMili[[#This Row],[Train Unit 1]:[Train Spies]],TblMili[[#This Row],[Train Wiz]]) - TblMili[[#This Row],[Release Draft]] + SUM(TblMili[[#This Row],[Release Unit 1]:[Release AM]]) - TblExplore[[#This Row],[Draftees (2)]]+MIN(13,days_late)*days_late_draftees</f>
        <v>100</v>
      </c>
      <c r="AB72" s="157"/>
      <c r="AC72" s="183">
        <f ca="1">(TblConstr[[#This Row],[Tot Smi]]+TblConstr[[#This Row],[Dest Smi]])/(TblConstr[[#This Row],[Land]]-TblExplore[[#This Row],[Land Bonus]]*20)</f>
        <v>0</v>
      </c>
      <c r="AD72" s="140"/>
      <c r="AE72" s="261">
        <f>TblMili[[#This Row],[Hour]]</f>
        <v>69</v>
      </c>
      <c r="AF72" s="141">
        <f ca="1">TblExplore[[#This Row],[Time]]</f>
        <v>44873.833333333168</v>
      </c>
      <c r="AG72" s="182"/>
      <c r="AH72" s="182"/>
      <c r="AI72" s="182"/>
      <c r="AJ72" s="182"/>
      <c r="AK72" s="182"/>
      <c r="AL72" s="182"/>
      <c r="AM72" s="182"/>
      <c r="AN72" s="182"/>
      <c r="AO72" s="145"/>
      <c r="AP72" s="97">
        <f ca="1">TblProd[[#This Row],[Platinum]]</f>
        <v>480681</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44873.833333333168</v>
      </c>
      <c r="AV72" s="97">
        <f ca="1">TblMili[[#This Row],[Draftees]]</f>
        <v>100</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1200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4]])*2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3</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300</v>
      </c>
      <c r="C73" s="160">
        <f ca="1">TblPop[[#This Row],[Military%]]</f>
        <v>0.12831479897348161</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550</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550</v>
      </c>
      <c r="X73" s="262">
        <f ca="1">TblConstr[[#This Row],[Land]]</f>
        <v>250</v>
      </c>
      <c r="Y73" s="265"/>
      <c r="Z73" s="270">
        <f ca="1">IF(TblMili[[#This Row],[Set]]&lt;&gt;"",TblMili[[#This Row],[Set]],OFFSET(TblMili[[#This Row],[Draftrate]],-1,0))</f>
        <v>0.35</v>
      </c>
      <c r="AA73" s="97">
        <f ca="1">start_draftees - SUM(TblMili[[#This Row],[Train Unit 1]:[Train Spies]],TblMili[[#This Row],[Train Wiz]]) - TblMili[[#This Row],[Release Draft]] + SUM(TblMili[[#This Row],[Release Unit 1]:[Release AM]]) - TblExplore[[#This Row],[Draftees (2)]]+MIN(13,days_late)*days_late_draftees</f>
        <v>100</v>
      </c>
      <c r="AB73" s="157"/>
      <c r="AC73" s="183">
        <f ca="1">(TblConstr[[#This Row],[Tot Smi]]+TblConstr[[#This Row],[Dest Smi]])/(TblConstr[[#This Row],[Land]]-TblExplore[[#This Row],[Land Bonus]]*20)</f>
        <v>0</v>
      </c>
      <c r="AD73" s="140"/>
      <c r="AE73" s="261">
        <f>TblMili[[#This Row],[Hour]]</f>
        <v>70</v>
      </c>
      <c r="AF73" s="141">
        <f ca="1">TblExplore[[#This Row],[Time]]</f>
        <v>44873.874999999833</v>
      </c>
      <c r="AG73" s="182"/>
      <c r="AH73" s="182"/>
      <c r="AI73" s="182"/>
      <c r="AJ73" s="182"/>
      <c r="AK73" s="182"/>
      <c r="AL73" s="182"/>
      <c r="AM73" s="182"/>
      <c r="AN73" s="182"/>
      <c r="AO73" s="145"/>
      <c r="AP73" s="97">
        <f ca="1">TblProd[[#This Row],[Platinum]]</f>
        <v>486351</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44873.874999999833</v>
      </c>
      <c r="AV73" s="97">
        <f ca="1">TblMili[[#This Row],[Draftees]]</f>
        <v>100</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1200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4]])*2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3</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300</v>
      </c>
      <c r="C74" s="160">
        <f ca="1">TblPop[[#This Row],[Military%]]</f>
        <v>0.12831479897348161</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550</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550</v>
      </c>
      <c r="X74" s="262">
        <f ca="1">TblConstr[[#This Row],[Land]]</f>
        <v>250</v>
      </c>
      <c r="Y74" s="265"/>
      <c r="Z74" s="270">
        <f ca="1">IF(TblMili[[#This Row],[Set]]&lt;&gt;"",TblMili[[#This Row],[Set]],OFFSET(TblMili[[#This Row],[Draftrate]],-1,0))</f>
        <v>0.35</v>
      </c>
      <c r="AA74" s="97">
        <f ca="1">start_draftees - SUM(TblMili[[#This Row],[Train Unit 1]:[Train Spies]],TblMili[[#This Row],[Train Wiz]]) - TblMili[[#This Row],[Release Draft]] + SUM(TblMili[[#This Row],[Release Unit 1]:[Release AM]]) - TblExplore[[#This Row],[Draftees (2)]]+MIN(13,days_late)*days_late_draftees</f>
        <v>100</v>
      </c>
      <c r="AB74" s="157"/>
      <c r="AC74" s="183">
        <f ca="1">(TblConstr[[#This Row],[Tot Smi]]+TblConstr[[#This Row],[Dest Smi]])/(TblConstr[[#This Row],[Land]]-TblExplore[[#This Row],[Land Bonus]]*20)</f>
        <v>0</v>
      </c>
      <c r="AD74" s="140"/>
      <c r="AE74" s="261">
        <f>TblMili[[#This Row],[Hour]]</f>
        <v>71</v>
      </c>
      <c r="AF74" s="141">
        <f ca="1">TblExplore[[#This Row],[Time]]</f>
        <v>44873.916666666497</v>
      </c>
      <c r="AG74" s="182"/>
      <c r="AH74" s="182"/>
      <c r="AI74" s="182"/>
      <c r="AJ74" s="182"/>
      <c r="AK74" s="182"/>
      <c r="AL74" s="182"/>
      <c r="AM74" s="182"/>
      <c r="AN74" s="182"/>
      <c r="AO74" s="145"/>
      <c r="AP74" s="97">
        <f ca="1">TblProd[[#This Row],[Platinum]]</f>
        <v>492021</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44873.916666666497</v>
      </c>
      <c r="AV74" s="97">
        <f ca="1">TblMili[[#This Row],[Draftees]]</f>
        <v>100</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1200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4]])*2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3</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300</v>
      </c>
      <c r="C75" s="160">
        <f ca="1">TblPop[[#This Row],[Military%]]</f>
        <v>0.12831479897348161</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550</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550</v>
      </c>
      <c r="X75" s="262">
        <f ca="1">TblConstr[[#This Row],[Land]]</f>
        <v>250</v>
      </c>
      <c r="Y75" s="265"/>
      <c r="Z75" s="270">
        <f ca="1">IF(TblMili[[#This Row],[Set]]&lt;&gt;"",TblMili[[#This Row],[Set]],OFFSET(TblMili[[#This Row],[Draftrate]],-1,0))</f>
        <v>0.35</v>
      </c>
      <c r="AA75" s="97">
        <f ca="1">start_draftees - SUM(TblMili[[#This Row],[Train Unit 1]:[Train Spies]],TblMili[[#This Row],[Train Wiz]]) - TblMili[[#This Row],[Release Draft]] + SUM(TblMili[[#This Row],[Release Unit 1]:[Release AM]]) - TblExplore[[#This Row],[Draftees (2)]]+MIN(13,days_late)*days_late_draftees</f>
        <v>100</v>
      </c>
      <c r="AB75" s="157"/>
      <c r="AC75" s="183">
        <f ca="1">(TblConstr[[#This Row],[Tot Smi]]+TblConstr[[#This Row],[Dest Smi]])/(TblConstr[[#This Row],[Land]]-TblExplore[[#This Row],[Land Bonus]]*20)</f>
        <v>0</v>
      </c>
      <c r="AD75" s="140"/>
      <c r="AE75" s="261">
        <f>TblMili[[#This Row],[Hour]]</f>
        <v>72</v>
      </c>
      <c r="AF75" s="141">
        <f ca="1">TblExplore[[#This Row],[Time]]</f>
        <v>44873.958333333161</v>
      </c>
      <c r="AG75" s="182"/>
      <c r="AH75" s="182"/>
      <c r="AI75" s="182"/>
      <c r="AJ75" s="182"/>
      <c r="AK75" s="182"/>
      <c r="AL75" s="182"/>
      <c r="AM75" s="182"/>
      <c r="AN75" s="182"/>
      <c r="AO75" s="145"/>
      <c r="AP75" s="97">
        <f ca="1">TblProd[[#This Row],[Platinum]]</f>
        <v>497691</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44873.958333333161</v>
      </c>
      <c r="AV75" s="97">
        <f ca="1">TblMili[[#This Row],[Draftees]]</f>
        <v>100</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1200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4]])*2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3</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300</v>
      </c>
      <c r="C76" s="252">
        <f ca="1">TblPop[[#This Row],[Military%]]</f>
        <v>0.12831479897348161</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550</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550</v>
      </c>
      <c r="X76" s="274">
        <f ca="1">TblConstr[[#This Row],[Land]]</f>
        <v>250</v>
      </c>
      <c r="Y76" s="277"/>
      <c r="Z76" s="278">
        <f ca="1">IF(TblMili[[#This Row],[Set]]&lt;&gt;"",TblMili[[#This Row],[Set]],OFFSET(TblMili[[#This Row],[Draftrate]],-1,0))</f>
        <v>0.35</v>
      </c>
      <c r="AA76" s="210">
        <f ca="1">start_draftees - SUM(TblMili[[#This Row],[Train Unit 1]:[Train Spies]],TblMili[[#This Row],[Train Wiz]]) - TblMili[[#This Row],[Release Draft]] + SUM(TblMili[[#This Row],[Release Unit 1]:[Release AM]]) - TblExplore[[#This Row],[Draftees (2)]]+MIN(13,days_late)*days_late_draftees</f>
        <v>100</v>
      </c>
      <c r="AB76" s="165"/>
      <c r="AC76" s="209">
        <f ca="1">(TblConstr[[#This Row],[Tot Smi]]+TblConstr[[#This Row],[Dest Smi]])/(TblConstr[[#This Row],[Land]]-TblExplore[[#This Row],[Land Bonus]]*20)</f>
        <v>0</v>
      </c>
      <c r="AD76" s="147"/>
      <c r="AE76" s="273">
        <f>TblMili[[#This Row],[Hour]]</f>
        <v>73</v>
      </c>
      <c r="AF76" s="148">
        <f ca="1">TblExplore[[#This Row],[Time]]</f>
        <v>44873.999999999825</v>
      </c>
      <c r="AG76" s="207"/>
      <c r="AH76" s="207"/>
      <c r="AI76" s="169"/>
      <c r="AJ76" s="207"/>
      <c r="AK76" s="207"/>
      <c r="AL76" s="207"/>
      <c r="AM76" s="207"/>
      <c r="AN76" s="207"/>
      <c r="AO76" s="152"/>
      <c r="AP76" s="210">
        <f ca="1">TblProd[[#This Row],[Platinum]]</f>
        <v>503361</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44873.999999999825</v>
      </c>
      <c r="AV76" s="210">
        <f ca="1">TblMili[[#This Row],[Draftees]]</f>
        <v>100</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1200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4]])*2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3</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300</v>
      </c>
      <c r="C77" s="160">
        <f ca="1">TblPop[[#This Row],[Military%]]</f>
        <v>0.12831479897348161</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550</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550</v>
      </c>
      <c r="X77" s="262">
        <f ca="1">TblConstr[[#This Row],[Land]]</f>
        <v>250</v>
      </c>
      <c r="Y77" s="265"/>
      <c r="Z77" s="270">
        <f ca="1">IF(TblMili[[#This Row],[Set]]&lt;&gt;"",TblMili[[#This Row],[Set]],OFFSET(TblMili[[#This Row],[Draftrate]],-1,0))</f>
        <v>0.35</v>
      </c>
      <c r="AA77" s="97">
        <f ca="1">start_draftees - SUM(TblMili[[#This Row],[Train Unit 1]:[Train Spies]],TblMili[[#This Row],[Train Wiz]]) - TblMili[[#This Row],[Release Draft]] + SUM(TblMili[[#This Row],[Release Unit 1]:[Release AM]]) - TblExplore[[#This Row],[Draftees (2)]]+MIN(13,days_late)*days_late_draftees</f>
        <v>100</v>
      </c>
      <c r="AB77" s="157"/>
      <c r="AC77" s="183">
        <f ca="1">(TblConstr[[#This Row],[Tot Smi]]+TblConstr[[#This Row],[Dest Smi]])/(TblConstr[[#This Row],[Land]]-TblExplore[[#This Row],[Land Bonus]]*20)</f>
        <v>0</v>
      </c>
      <c r="AD77" s="140"/>
      <c r="AE77" s="261">
        <f>TblMili[[#This Row],[Hour]]</f>
        <v>74</v>
      </c>
      <c r="AF77" s="141">
        <f ca="1">TblExplore[[#This Row],[Time]]</f>
        <v>44874.04166666649</v>
      </c>
      <c r="AG77" s="182"/>
      <c r="AH77" s="182"/>
      <c r="AI77" s="182"/>
      <c r="AJ77" s="182"/>
      <c r="AK77" s="182"/>
      <c r="AL77" s="182"/>
      <c r="AM77" s="182"/>
      <c r="AN77" s="182"/>
      <c r="AO77" s="145"/>
      <c r="AP77" s="97">
        <f ca="1">TblProd[[#This Row],[Platinum]]</f>
        <v>509031</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44874.04166666649</v>
      </c>
      <c r="AV77" s="97">
        <f ca="1">TblMili[[#This Row],[Draftees]]</f>
        <v>100</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1200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4]])*2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3</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300</v>
      </c>
      <c r="C78" s="160">
        <f ca="1">TblPop[[#This Row],[Military%]]</f>
        <v>0.12831479897348161</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550</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550</v>
      </c>
      <c r="X78" s="262">
        <f ca="1">TblConstr[[#This Row],[Land]]</f>
        <v>250</v>
      </c>
      <c r="Y78" s="265"/>
      <c r="Z78" s="270">
        <f ca="1">IF(TblMili[[#This Row],[Set]]&lt;&gt;"",TblMili[[#This Row],[Set]],OFFSET(TblMili[[#This Row],[Draftrate]],-1,0))</f>
        <v>0.35</v>
      </c>
      <c r="AA78" s="97">
        <f ca="1">start_draftees - SUM(TblMili[[#This Row],[Train Unit 1]:[Train Spies]],TblMili[[#This Row],[Train Wiz]]) - TblMili[[#This Row],[Release Draft]] + SUM(TblMili[[#This Row],[Release Unit 1]:[Release AM]]) - TblExplore[[#This Row],[Draftees (2)]]+MIN(13,days_late)*days_late_draftees</f>
        <v>100</v>
      </c>
      <c r="AB78" s="157"/>
      <c r="AC78" s="183">
        <f ca="1">(TblConstr[[#This Row],[Tot Smi]]+TblConstr[[#This Row],[Dest Smi]])/(TblConstr[[#This Row],[Land]]-TblExplore[[#This Row],[Land Bonus]]*20)</f>
        <v>0</v>
      </c>
      <c r="AD78" s="140"/>
      <c r="AE78" s="261">
        <f>TblMili[[#This Row],[Hour]]</f>
        <v>75</v>
      </c>
      <c r="AF78" s="141">
        <f ca="1">TblExplore[[#This Row],[Time]]</f>
        <v>44874.083333333154</v>
      </c>
      <c r="AG78" s="182"/>
      <c r="AH78" s="182"/>
      <c r="AI78" s="182"/>
      <c r="AJ78" s="182"/>
      <c r="AK78" s="182"/>
      <c r="AL78" s="182"/>
      <c r="AM78" s="182"/>
      <c r="AN78" s="182"/>
      <c r="AO78" s="145"/>
      <c r="AP78" s="97">
        <f ca="1">TblProd[[#This Row],[Platinum]]</f>
        <v>514701</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44874.083333333154</v>
      </c>
      <c r="AV78" s="97">
        <f ca="1">TblMili[[#This Row],[Draftees]]</f>
        <v>100</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1200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4]])*2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3</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300</v>
      </c>
      <c r="C79" s="160">
        <f ca="1">TblPop[[#This Row],[Military%]]</f>
        <v>0.12831479897348161</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550</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550</v>
      </c>
      <c r="X79" s="262">
        <f ca="1">TblConstr[[#This Row],[Land]]</f>
        <v>250</v>
      </c>
      <c r="Y79" s="265"/>
      <c r="Z79" s="270">
        <f ca="1">IF(TblMili[[#This Row],[Set]]&lt;&gt;"",TblMili[[#This Row],[Set]],OFFSET(TblMili[[#This Row],[Draftrate]],-1,0))</f>
        <v>0.35</v>
      </c>
      <c r="AA79" s="97">
        <f ca="1">start_draftees - SUM(TblMili[[#This Row],[Train Unit 1]:[Train Spies]],TblMili[[#This Row],[Train Wiz]]) - TblMili[[#This Row],[Release Draft]] + SUM(TblMili[[#This Row],[Release Unit 1]:[Release AM]]) - TblExplore[[#This Row],[Draftees (2)]]+MIN(13,days_late)*days_late_draftees</f>
        <v>100</v>
      </c>
      <c r="AB79" s="157"/>
      <c r="AC79" s="183">
        <f ca="1">(TblConstr[[#This Row],[Tot Smi]]+TblConstr[[#This Row],[Dest Smi]])/(TblConstr[[#This Row],[Land]]-TblExplore[[#This Row],[Land Bonus]]*20)</f>
        <v>0</v>
      </c>
      <c r="AD79" s="140"/>
      <c r="AE79" s="261">
        <f>TblMili[[#This Row],[Hour]]</f>
        <v>76</v>
      </c>
      <c r="AF79" s="141">
        <f ca="1">TblExplore[[#This Row],[Time]]</f>
        <v>44874.124999999818</v>
      </c>
      <c r="AG79" s="182"/>
      <c r="AH79" s="182"/>
      <c r="AI79" s="182"/>
      <c r="AJ79" s="182"/>
      <c r="AK79" s="182"/>
      <c r="AL79" s="182"/>
      <c r="AM79" s="182"/>
      <c r="AN79" s="182"/>
      <c r="AO79" s="145"/>
      <c r="AP79" s="97">
        <f ca="1">TblProd[[#This Row],[Platinum]]</f>
        <v>520371</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44874.124999999818</v>
      </c>
      <c r="AV79" s="97">
        <f ca="1">TblMili[[#This Row],[Draftees]]</f>
        <v>100</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1200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4]])*2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3</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300</v>
      </c>
      <c r="C80" s="160">
        <f ca="1">TblPop[[#This Row],[Military%]]</f>
        <v>0.12831479897348161</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550</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550</v>
      </c>
      <c r="X80" s="262">
        <f ca="1">TblConstr[[#This Row],[Land]]</f>
        <v>250</v>
      </c>
      <c r="Y80" s="265"/>
      <c r="Z80" s="270">
        <f ca="1">IF(TblMili[[#This Row],[Set]]&lt;&gt;"",TblMili[[#This Row],[Set]],OFFSET(TblMili[[#This Row],[Draftrate]],-1,0))</f>
        <v>0.35</v>
      </c>
      <c r="AA80" s="97">
        <f ca="1">start_draftees - SUM(TblMili[[#This Row],[Train Unit 1]:[Train Spies]],TblMili[[#This Row],[Train Wiz]]) - TblMili[[#This Row],[Release Draft]] + SUM(TblMili[[#This Row],[Release Unit 1]:[Release AM]]) - TblExplore[[#This Row],[Draftees (2)]]+MIN(13,days_late)*days_late_draftees</f>
        <v>100</v>
      </c>
      <c r="AB80" s="157"/>
      <c r="AC80" s="183">
        <f ca="1">(TblConstr[[#This Row],[Tot Smi]]+TblConstr[[#This Row],[Dest Smi]])/(TblConstr[[#This Row],[Land]]-TblExplore[[#This Row],[Land Bonus]]*20)</f>
        <v>0</v>
      </c>
      <c r="AD80" s="140"/>
      <c r="AE80" s="261">
        <f>TblMili[[#This Row],[Hour]]</f>
        <v>77</v>
      </c>
      <c r="AF80" s="141">
        <f ca="1">TblExplore[[#This Row],[Time]]</f>
        <v>44874.166666666482</v>
      </c>
      <c r="AG80" s="182"/>
      <c r="AH80" s="182"/>
      <c r="AI80" s="182"/>
      <c r="AJ80" s="182"/>
      <c r="AK80" s="182"/>
      <c r="AL80" s="182"/>
      <c r="AM80" s="182"/>
      <c r="AN80" s="182"/>
      <c r="AO80" s="145"/>
      <c r="AP80" s="97">
        <f ca="1">TblProd[[#This Row],[Platinum]]</f>
        <v>526041</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44874.166666666482</v>
      </c>
      <c r="AV80" s="97">
        <f ca="1">TblMili[[#This Row],[Draftees]]</f>
        <v>100</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1200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4]])*2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3</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300</v>
      </c>
      <c r="C81" s="160">
        <f ca="1">TblPop[[#This Row],[Military%]]</f>
        <v>0.12831479897348161</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550</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550</v>
      </c>
      <c r="X81" s="262">
        <f ca="1">TblConstr[[#This Row],[Land]]</f>
        <v>250</v>
      </c>
      <c r="Y81" s="265"/>
      <c r="Z81" s="270">
        <f ca="1">IF(TblMili[[#This Row],[Set]]&lt;&gt;"",TblMili[[#This Row],[Set]],OFFSET(TblMili[[#This Row],[Draftrate]],-1,0))</f>
        <v>0.35</v>
      </c>
      <c r="AA81" s="97">
        <f ca="1">start_draftees - SUM(TblMili[[#This Row],[Train Unit 1]:[Train Spies]],TblMili[[#This Row],[Train Wiz]]) - TblMili[[#This Row],[Release Draft]] + SUM(TblMili[[#This Row],[Release Unit 1]:[Release AM]]) - TblExplore[[#This Row],[Draftees (2)]]+MIN(13,days_late)*days_late_draftees</f>
        <v>100</v>
      </c>
      <c r="AB81" s="157"/>
      <c r="AC81" s="183">
        <f ca="1">(TblConstr[[#This Row],[Tot Smi]]+TblConstr[[#This Row],[Dest Smi]])/(TblConstr[[#This Row],[Land]]-TblExplore[[#This Row],[Land Bonus]]*20)</f>
        <v>0</v>
      </c>
      <c r="AD81" s="140"/>
      <c r="AE81" s="261">
        <f>TblMili[[#This Row],[Hour]]</f>
        <v>78</v>
      </c>
      <c r="AF81" s="141">
        <f ca="1">TblExplore[[#This Row],[Time]]</f>
        <v>44874.208333333147</v>
      </c>
      <c r="AG81" s="182"/>
      <c r="AH81" s="182"/>
      <c r="AI81" s="182"/>
      <c r="AJ81" s="182"/>
      <c r="AK81" s="182"/>
      <c r="AL81" s="182"/>
      <c r="AM81" s="182"/>
      <c r="AN81" s="182"/>
      <c r="AO81" s="145"/>
      <c r="AP81" s="97">
        <f ca="1">TblProd[[#This Row],[Platinum]]</f>
        <v>531711</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44874.208333333147</v>
      </c>
      <c r="AV81" s="97">
        <f ca="1">TblMili[[#This Row],[Draftees]]</f>
        <v>100</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1200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4]])*2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3</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300</v>
      </c>
      <c r="C82" s="160">
        <f ca="1">TblPop[[#This Row],[Military%]]</f>
        <v>0.12831479897348161</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550</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550</v>
      </c>
      <c r="X82" s="262">
        <f ca="1">TblConstr[[#This Row],[Land]]</f>
        <v>250</v>
      </c>
      <c r="Y82" s="265"/>
      <c r="Z82" s="270">
        <f ca="1">IF(TblMili[[#This Row],[Set]]&lt;&gt;"",TblMili[[#This Row],[Set]],OFFSET(TblMili[[#This Row],[Draftrate]],-1,0))</f>
        <v>0.35</v>
      </c>
      <c r="AA82" s="97">
        <f ca="1">start_draftees - SUM(TblMili[[#This Row],[Train Unit 1]:[Train Spies]],TblMili[[#This Row],[Train Wiz]]) - TblMili[[#This Row],[Release Draft]] + SUM(TblMili[[#This Row],[Release Unit 1]:[Release AM]]) - TblExplore[[#This Row],[Draftees (2)]]+MIN(13,days_late)*days_late_draftees</f>
        <v>100</v>
      </c>
      <c r="AB82" s="157"/>
      <c r="AC82" s="183">
        <f ca="1">(TblConstr[[#This Row],[Tot Smi]]+TblConstr[[#This Row],[Dest Smi]])/(TblConstr[[#This Row],[Land]]-TblExplore[[#This Row],[Land Bonus]]*20)</f>
        <v>0</v>
      </c>
      <c r="AD82" s="140"/>
      <c r="AE82" s="261">
        <f>TblMili[[#This Row],[Hour]]</f>
        <v>79</v>
      </c>
      <c r="AF82" s="141">
        <f ca="1">TblExplore[[#This Row],[Time]]</f>
        <v>44874.249999999811</v>
      </c>
      <c r="AG82" s="182"/>
      <c r="AH82" s="182"/>
      <c r="AI82" s="182"/>
      <c r="AJ82" s="182"/>
      <c r="AK82" s="182"/>
      <c r="AL82" s="182"/>
      <c r="AM82" s="182"/>
      <c r="AN82" s="182"/>
      <c r="AO82" s="145"/>
      <c r="AP82" s="97">
        <f ca="1">TblProd[[#This Row],[Platinum]]</f>
        <v>537381</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44874.249999999811</v>
      </c>
      <c r="AV82" s="97">
        <f ca="1">TblMili[[#This Row],[Draftees]]</f>
        <v>100</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1200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4]])*2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3</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300</v>
      </c>
      <c r="C83" s="160">
        <f ca="1">TblPop[[#This Row],[Military%]]</f>
        <v>0.12831479897348161</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550</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550</v>
      </c>
      <c r="X83" s="262">
        <f ca="1">TblConstr[[#This Row],[Land]]</f>
        <v>250</v>
      </c>
      <c r="Y83" s="265"/>
      <c r="Z83" s="270">
        <f ca="1">IF(TblMili[[#This Row],[Set]]&lt;&gt;"",TblMili[[#This Row],[Set]],OFFSET(TblMili[[#This Row],[Draftrate]],-1,0))</f>
        <v>0.35</v>
      </c>
      <c r="AA83" s="97">
        <f ca="1">start_draftees - SUM(TblMili[[#This Row],[Train Unit 1]:[Train Spies]],TblMili[[#This Row],[Train Wiz]]) - TblMili[[#This Row],[Release Draft]] + SUM(TblMili[[#This Row],[Release Unit 1]:[Release AM]]) - TblExplore[[#This Row],[Draftees (2)]]+MIN(13,days_late)*days_late_draftees</f>
        <v>100</v>
      </c>
      <c r="AB83" s="157"/>
      <c r="AC83" s="183">
        <f ca="1">(TblConstr[[#This Row],[Tot Smi]]+TblConstr[[#This Row],[Dest Smi]])/(TblConstr[[#This Row],[Land]]-TblExplore[[#This Row],[Land Bonus]]*20)</f>
        <v>0</v>
      </c>
      <c r="AD83" s="140"/>
      <c r="AE83" s="261">
        <f>TblMili[[#This Row],[Hour]]</f>
        <v>80</v>
      </c>
      <c r="AF83" s="141">
        <f ca="1">TblExplore[[#This Row],[Time]]</f>
        <v>44874.291666666475</v>
      </c>
      <c r="AG83" s="182"/>
      <c r="AH83" s="182"/>
      <c r="AI83" s="182"/>
      <c r="AJ83" s="182"/>
      <c r="AK83" s="182"/>
      <c r="AL83" s="182"/>
      <c r="AM83" s="182"/>
      <c r="AN83" s="182"/>
      <c r="AO83" s="145"/>
      <c r="AP83" s="97">
        <f ca="1">TblProd[[#This Row],[Platinum]]</f>
        <v>543051</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44874.291666666475</v>
      </c>
      <c r="AV83" s="97">
        <f ca="1">TblMili[[#This Row],[Draftees]]</f>
        <v>100</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1200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4]])*2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3</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300</v>
      </c>
      <c r="C84" s="160">
        <f ca="1">TblPop[[#This Row],[Military%]]</f>
        <v>0.12831479897348161</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550</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550</v>
      </c>
      <c r="X84" s="262">
        <f ca="1">TblConstr[[#This Row],[Land]]</f>
        <v>250</v>
      </c>
      <c r="Y84" s="265"/>
      <c r="Z84" s="270">
        <f ca="1">IF(TblMili[[#This Row],[Set]]&lt;&gt;"",TblMili[[#This Row],[Set]],OFFSET(TblMili[[#This Row],[Draftrate]],-1,0))</f>
        <v>0.35</v>
      </c>
      <c r="AA84" s="97">
        <f ca="1">start_draftees - SUM(TblMili[[#This Row],[Train Unit 1]:[Train Spies]],TblMili[[#This Row],[Train Wiz]]) - TblMili[[#This Row],[Release Draft]] + SUM(TblMili[[#This Row],[Release Unit 1]:[Release AM]]) - TblExplore[[#This Row],[Draftees (2)]]+MIN(13,days_late)*days_late_draftees</f>
        <v>100</v>
      </c>
      <c r="AB84" s="157"/>
      <c r="AC84" s="183">
        <f ca="1">(TblConstr[[#This Row],[Tot Smi]]+TblConstr[[#This Row],[Dest Smi]])/(TblConstr[[#This Row],[Land]]-TblExplore[[#This Row],[Land Bonus]]*20)</f>
        <v>0</v>
      </c>
      <c r="AD84" s="140"/>
      <c r="AE84" s="261">
        <f>TblMili[[#This Row],[Hour]]</f>
        <v>81</v>
      </c>
      <c r="AF84" s="141">
        <f ca="1">TblExplore[[#This Row],[Time]]</f>
        <v>44874.333333333139</v>
      </c>
      <c r="AG84" s="182"/>
      <c r="AH84" s="182"/>
      <c r="AI84" s="182"/>
      <c r="AJ84" s="182"/>
      <c r="AK84" s="182"/>
      <c r="AL84" s="182"/>
      <c r="AM84" s="182"/>
      <c r="AN84" s="182"/>
      <c r="AO84" s="145"/>
      <c r="AP84" s="97">
        <f ca="1">TblProd[[#This Row],[Platinum]]</f>
        <v>548721</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44874.333333333139</v>
      </c>
      <c r="AV84" s="97">
        <f ca="1">TblMili[[#This Row],[Draftees]]</f>
        <v>100</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1200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4]])*2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3</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300</v>
      </c>
      <c r="C85" s="160">
        <f ca="1">TblPop[[#This Row],[Military%]]</f>
        <v>0.12831479897348161</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550</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550</v>
      </c>
      <c r="X85" s="262">
        <f ca="1">TblConstr[[#This Row],[Land]]</f>
        <v>250</v>
      </c>
      <c r="Y85" s="265"/>
      <c r="Z85" s="270">
        <f ca="1">IF(TblMili[[#This Row],[Set]]&lt;&gt;"",TblMili[[#This Row],[Set]],OFFSET(TblMili[[#This Row],[Draftrate]],-1,0))</f>
        <v>0.35</v>
      </c>
      <c r="AA85" s="97">
        <f ca="1">start_draftees - SUM(TblMili[[#This Row],[Train Unit 1]:[Train Spies]],TblMili[[#This Row],[Train Wiz]]) - TblMili[[#This Row],[Release Draft]] + SUM(TblMili[[#This Row],[Release Unit 1]:[Release AM]]) - TblExplore[[#This Row],[Draftees (2)]]+MIN(13,days_late)*days_late_draftees</f>
        <v>100</v>
      </c>
      <c r="AB85" s="157"/>
      <c r="AC85" s="183">
        <f ca="1">(TblConstr[[#This Row],[Tot Smi]]+TblConstr[[#This Row],[Dest Smi]])/(TblConstr[[#This Row],[Land]]-TblExplore[[#This Row],[Land Bonus]]*20)</f>
        <v>0</v>
      </c>
      <c r="AD85" s="140"/>
      <c r="AE85" s="261">
        <f>TblMili[[#This Row],[Hour]]</f>
        <v>82</v>
      </c>
      <c r="AF85" s="141">
        <f ca="1">TblExplore[[#This Row],[Time]]</f>
        <v>44874.374999999804</v>
      </c>
      <c r="AG85" s="182"/>
      <c r="AH85" s="182"/>
      <c r="AI85" s="182"/>
      <c r="AJ85" s="182"/>
      <c r="AK85" s="182"/>
      <c r="AL85" s="182"/>
      <c r="AM85" s="182"/>
      <c r="AN85" s="182"/>
      <c r="AO85" s="145"/>
      <c r="AP85" s="97">
        <f ca="1">TblProd[[#This Row],[Platinum]]</f>
        <v>554391</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44874.374999999804</v>
      </c>
      <c r="AV85" s="97">
        <f ca="1">TblMili[[#This Row],[Draftees]]</f>
        <v>100</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1200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4]])*2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3</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300</v>
      </c>
      <c r="C86" s="160">
        <f ca="1">TblPop[[#This Row],[Military%]]</f>
        <v>0.12831479897348161</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550</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550</v>
      </c>
      <c r="X86" s="262">
        <f ca="1">TblConstr[[#This Row],[Land]]</f>
        <v>250</v>
      </c>
      <c r="Y86" s="265"/>
      <c r="Z86" s="270">
        <f ca="1">IF(TblMili[[#This Row],[Set]]&lt;&gt;"",TblMili[[#This Row],[Set]],OFFSET(TblMili[[#This Row],[Draftrate]],-1,0))</f>
        <v>0.35</v>
      </c>
      <c r="AA86" s="97">
        <f ca="1">start_draftees - SUM(TblMili[[#This Row],[Train Unit 1]:[Train Spies]],TblMili[[#This Row],[Train Wiz]]) - TblMili[[#This Row],[Release Draft]] + SUM(TblMili[[#This Row],[Release Unit 1]:[Release AM]]) - TblExplore[[#This Row],[Draftees (2)]]+MIN(13,days_late)*days_late_draftees</f>
        <v>100</v>
      </c>
      <c r="AB86" s="157"/>
      <c r="AC86" s="183">
        <f ca="1">(TblConstr[[#This Row],[Tot Smi]]+TblConstr[[#This Row],[Dest Smi]])/(TblConstr[[#This Row],[Land]]-TblExplore[[#This Row],[Land Bonus]]*20)</f>
        <v>0</v>
      </c>
      <c r="AD86" s="140"/>
      <c r="AE86" s="261">
        <f>TblMili[[#This Row],[Hour]]</f>
        <v>83</v>
      </c>
      <c r="AF86" s="141">
        <f ca="1">TblExplore[[#This Row],[Time]]</f>
        <v>44874.416666666468</v>
      </c>
      <c r="AG86" s="182"/>
      <c r="AH86" s="182"/>
      <c r="AI86" s="182"/>
      <c r="AJ86" s="182"/>
      <c r="AK86" s="182"/>
      <c r="AL86" s="182"/>
      <c r="AM86" s="182"/>
      <c r="AN86" s="182"/>
      <c r="AO86" s="145"/>
      <c r="AP86" s="97">
        <f ca="1">TblProd[[#This Row],[Platinum]]</f>
        <v>560061</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44874.416666666468</v>
      </c>
      <c r="AV86" s="97">
        <f ca="1">TblMili[[#This Row],[Draftees]]</f>
        <v>100</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1200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4]])*2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3</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300</v>
      </c>
      <c r="C87" s="160">
        <f ca="1">TblPop[[#This Row],[Military%]]</f>
        <v>0.12831479897348161</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550</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550</v>
      </c>
      <c r="X87" s="262">
        <f ca="1">TblConstr[[#This Row],[Land]]</f>
        <v>250</v>
      </c>
      <c r="Y87" s="265"/>
      <c r="Z87" s="270">
        <f ca="1">IF(TblMili[[#This Row],[Set]]&lt;&gt;"",TblMili[[#This Row],[Set]],OFFSET(TblMili[[#This Row],[Draftrate]],-1,0))</f>
        <v>0.35</v>
      </c>
      <c r="AA87" s="97">
        <f ca="1">start_draftees - SUM(TblMili[[#This Row],[Train Unit 1]:[Train Spies]],TblMili[[#This Row],[Train Wiz]]) - TblMili[[#This Row],[Release Draft]] + SUM(TblMili[[#This Row],[Release Unit 1]:[Release AM]]) - TblExplore[[#This Row],[Draftees (2)]]+MIN(13,days_late)*days_late_draftees</f>
        <v>100</v>
      </c>
      <c r="AB87" s="157"/>
      <c r="AC87" s="183">
        <f ca="1">(TblConstr[[#This Row],[Tot Smi]]+TblConstr[[#This Row],[Dest Smi]])/(TblConstr[[#This Row],[Land]]-TblExplore[[#This Row],[Land Bonus]]*20)</f>
        <v>0</v>
      </c>
      <c r="AD87" s="140"/>
      <c r="AE87" s="261">
        <f>TblMili[[#This Row],[Hour]]</f>
        <v>84</v>
      </c>
      <c r="AF87" s="141">
        <f ca="1">TblExplore[[#This Row],[Time]]</f>
        <v>44874.458333333132</v>
      </c>
      <c r="AG87" s="182"/>
      <c r="AH87" s="182"/>
      <c r="AI87" s="182"/>
      <c r="AJ87" s="182"/>
      <c r="AK87" s="182"/>
      <c r="AL87" s="182"/>
      <c r="AM87" s="182"/>
      <c r="AN87" s="182"/>
      <c r="AO87" s="145"/>
      <c r="AP87" s="97">
        <f ca="1">TblProd[[#This Row],[Platinum]]</f>
        <v>565731</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44874.458333333132</v>
      </c>
      <c r="AV87" s="97">
        <f ca="1">TblMili[[#This Row],[Draftees]]</f>
        <v>100</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1200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4]])*2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3</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300</v>
      </c>
      <c r="C88" s="160">
        <f ca="1">TblPop[[#This Row],[Military%]]</f>
        <v>0.12831479897348161</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550</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550</v>
      </c>
      <c r="X88" s="262">
        <f ca="1">TblConstr[[#This Row],[Land]]</f>
        <v>250</v>
      </c>
      <c r="Y88" s="265"/>
      <c r="Z88" s="270">
        <f ca="1">IF(TblMili[[#This Row],[Set]]&lt;&gt;"",TblMili[[#This Row],[Set]],OFFSET(TblMili[[#This Row],[Draftrate]],-1,0))</f>
        <v>0.35</v>
      </c>
      <c r="AA88" s="97">
        <f ca="1">start_draftees - SUM(TblMili[[#This Row],[Train Unit 1]:[Train Spies]],TblMili[[#This Row],[Train Wiz]]) - TblMili[[#This Row],[Release Draft]] + SUM(TblMili[[#This Row],[Release Unit 1]:[Release AM]]) - TblExplore[[#This Row],[Draftees (2)]]+MIN(13,days_late)*days_late_draftees</f>
        <v>100</v>
      </c>
      <c r="AB88" s="157"/>
      <c r="AC88" s="183">
        <f ca="1">(TblConstr[[#This Row],[Tot Smi]]+TblConstr[[#This Row],[Dest Smi]])/(TblConstr[[#This Row],[Land]]-TblExplore[[#This Row],[Land Bonus]]*20)</f>
        <v>0</v>
      </c>
      <c r="AD88" s="261"/>
      <c r="AE88" s="261">
        <f>TblMili[[#This Row],[Hour]]</f>
        <v>85</v>
      </c>
      <c r="AF88" s="141">
        <f ca="1">TblExplore[[#This Row],[Time]]</f>
        <v>44874.499999999796</v>
      </c>
      <c r="AG88" s="182"/>
      <c r="AH88" s="182"/>
      <c r="AI88" s="182"/>
      <c r="AJ88" s="182"/>
      <c r="AK88" s="182"/>
      <c r="AL88" s="182"/>
      <c r="AM88" s="182"/>
      <c r="AN88" s="182"/>
      <c r="AO88" s="145"/>
      <c r="AP88" s="97">
        <f ca="1">TblProd[[#This Row],[Platinum]]</f>
        <v>571401</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44874.499999999796</v>
      </c>
      <c r="AV88" s="97">
        <f ca="1">TblMili[[#This Row],[Draftees]]</f>
        <v>100</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1200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4]])*2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3</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300</v>
      </c>
      <c r="C89" s="160">
        <f ca="1">TblPop[[#This Row],[Military%]]</f>
        <v>0.12831479897348161</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550</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550</v>
      </c>
      <c r="X89" s="262">
        <f ca="1">TblConstr[[#This Row],[Land]]</f>
        <v>250</v>
      </c>
      <c r="Y89" s="265"/>
      <c r="Z89" s="270">
        <f ca="1">IF(TblMili[[#This Row],[Set]]&lt;&gt;"",TblMili[[#This Row],[Set]],OFFSET(TblMili[[#This Row],[Draftrate]],-1,0))</f>
        <v>0.35</v>
      </c>
      <c r="AA89" s="97">
        <f ca="1">start_draftees - SUM(TblMili[[#This Row],[Train Unit 1]:[Train Spies]],TblMili[[#This Row],[Train Wiz]]) - TblMili[[#This Row],[Release Draft]] + SUM(TblMili[[#This Row],[Release Unit 1]:[Release AM]]) - TblExplore[[#This Row],[Draftees (2)]]+MIN(13,days_late)*days_late_draftees</f>
        <v>100</v>
      </c>
      <c r="AB89" s="157"/>
      <c r="AC89" s="183">
        <f ca="1">(TblConstr[[#This Row],[Tot Smi]]+TblConstr[[#This Row],[Dest Smi]])/(TblConstr[[#This Row],[Land]]-TblExplore[[#This Row],[Land Bonus]]*20)</f>
        <v>0</v>
      </c>
      <c r="AD89" s="140"/>
      <c r="AE89" s="261">
        <f>TblMili[[#This Row],[Hour]]</f>
        <v>86</v>
      </c>
      <c r="AF89" s="141">
        <f ca="1">TblExplore[[#This Row],[Time]]</f>
        <v>44874.541666666461</v>
      </c>
      <c r="AG89" s="182"/>
      <c r="AH89" s="182"/>
      <c r="AI89" s="182"/>
      <c r="AJ89" s="182"/>
      <c r="AK89" s="182"/>
      <c r="AL89" s="182"/>
      <c r="AM89" s="182"/>
      <c r="AN89" s="182"/>
      <c r="AO89" s="145"/>
      <c r="AP89" s="97">
        <f ca="1">TblProd[[#This Row],[Platinum]]</f>
        <v>577071</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44874.541666666461</v>
      </c>
      <c r="AV89" s="97">
        <f ca="1">TblMili[[#This Row],[Draftees]]</f>
        <v>100</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1200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4]])*2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3</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300</v>
      </c>
      <c r="C90" s="160">
        <f ca="1">TblPop[[#This Row],[Military%]]</f>
        <v>0.12831479897348161</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550</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550</v>
      </c>
      <c r="X90" s="262">
        <f ca="1">TblConstr[[#This Row],[Land]]</f>
        <v>250</v>
      </c>
      <c r="Y90" s="265"/>
      <c r="Z90" s="270">
        <f ca="1">IF(TblMili[[#This Row],[Set]]&lt;&gt;"",TblMili[[#This Row],[Set]],OFFSET(TblMili[[#This Row],[Draftrate]],-1,0))</f>
        <v>0.35</v>
      </c>
      <c r="AA90" s="97">
        <f ca="1">start_draftees - SUM(TblMili[[#This Row],[Train Unit 1]:[Train Spies]],TblMili[[#This Row],[Train Wiz]]) - TblMili[[#This Row],[Release Draft]] + SUM(TblMili[[#This Row],[Release Unit 1]:[Release AM]]) - TblExplore[[#This Row],[Draftees (2)]]+MIN(13,days_late)*days_late_draftees</f>
        <v>100</v>
      </c>
      <c r="AB90" s="157"/>
      <c r="AC90" s="183">
        <f ca="1">(TblConstr[[#This Row],[Tot Smi]]+TblConstr[[#This Row],[Dest Smi]])/(TblConstr[[#This Row],[Land]]-TblExplore[[#This Row],[Land Bonus]]*20)</f>
        <v>0</v>
      </c>
      <c r="AD90" s="140"/>
      <c r="AE90" s="261">
        <f>TblMili[[#This Row],[Hour]]</f>
        <v>87</v>
      </c>
      <c r="AF90" s="141">
        <f ca="1">TblExplore[[#This Row],[Time]]</f>
        <v>44874.583333333125</v>
      </c>
      <c r="AG90" s="182"/>
      <c r="AH90" s="182"/>
      <c r="AI90" s="182"/>
      <c r="AJ90" s="182"/>
      <c r="AK90" s="182"/>
      <c r="AL90" s="182"/>
      <c r="AM90" s="182"/>
      <c r="AN90" s="182"/>
      <c r="AO90" s="145"/>
      <c r="AP90" s="97">
        <f ca="1">TblProd[[#This Row],[Platinum]]</f>
        <v>582741</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44874.583333333125</v>
      </c>
      <c r="AV90" s="97">
        <f ca="1">TblMili[[#This Row],[Draftees]]</f>
        <v>100</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1200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4]])*2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3</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300</v>
      </c>
      <c r="C91" s="160">
        <f ca="1">TblPop[[#This Row],[Military%]]</f>
        <v>0.12831479897348161</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550</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550</v>
      </c>
      <c r="X91" s="262">
        <f ca="1">TblConstr[[#This Row],[Land]]</f>
        <v>250</v>
      </c>
      <c r="Y91" s="265"/>
      <c r="Z91" s="270">
        <f ca="1">IF(TblMili[[#This Row],[Set]]&lt;&gt;"",TblMili[[#This Row],[Set]],OFFSET(TblMili[[#This Row],[Draftrate]],-1,0))</f>
        <v>0.35</v>
      </c>
      <c r="AA91" s="97">
        <f ca="1">start_draftees - SUM(TblMili[[#This Row],[Train Unit 1]:[Train Spies]],TblMili[[#This Row],[Train Wiz]]) - TblMili[[#This Row],[Release Draft]] + SUM(TblMili[[#This Row],[Release Unit 1]:[Release AM]]) - TblExplore[[#This Row],[Draftees (2)]]+MIN(13,days_late)*days_late_draftees</f>
        <v>100</v>
      </c>
      <c r="AB91" s="157"/>
      <c r="AC91" s="183">
        <f ca="1">(TblConstr[[#This Row],[Tot Smi]]+TblConstr[[#This Row],[Dest Smi]])/(TblConstr[[#This Row],[Land]]-TblExplore[[#This Row],[Land Bonus]]*20)</f>
        <v>0</v>
      </c>
      <c r="AD91" s="140"/>
      <c r="AE91" s="261">
        <f>TblMili[[#This Row],[Hour]]</f>
        <v>88</v>
      </c>
      <c r="AF91" s="141">
        <f ca="1">TblExplore[[#This Row],[Time]]</f>
        <v>44874.624999999789</v>
      </c>
      <c r="AG91" s="182"/>
      <c r="AH91" s="182"/>
      <c r="AI91" s="182"/>
      <c r="AJ91" s="182"/>
      <c r="AK91" s="182"/>
      <c r="AL91" s="182"/>
      <c r="AM91" s="182"/>
      <c r="AN91" s="182"/>
      <c r="AO91" s="145"/>
      <c r="AP91" s="97">
        <f ca="1">TblProd[[#This Row],[Platinum]]</f>
        <v>588411</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44874.624999999789</v>
      </c>
      <c r="AV91" s="97">
        <f ca="1">TblMili[[#This Row],[Draftees]]</f>
        <v>100</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1200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4]])*2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3</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300</v>
      </c>
      <c r="C92" s="160">
        <f ca="1">TblPop[[#This Row],[Military%]]</f>
        <v>0.12831479897348161</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550</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550</v>
      </c>
      <c r="X92" s="262">
        <f ca="1">TblConstr[[#This Row],[Land]]</f>
        <v>250</v>
      </c>
      <c r="Y92" s="265"/>
      <c r="Z92" s="270">
        <f ca="1">IF(TblMili[[#This Row],[Set]]&lt;&gt;"",TblMili[[#This Row],[Set]],OFFSET(TblMili[[#This Row],[Draftrate]],-1,0))</f>
        <v>0.35</v>
      </c>
      <c r="AA92" s="97">
        <f ca="1">start_draftees - SUM(TblMili[[#This Row],[Train Unit 1]:[Train Spies]],TblMili[[#This Row],[Train Wiz]]) - TblMili[[#This Row],[Release Draft]] + SUM(TblMili[[#This Row],[Release Unit 1]:[Release AM]]) - TblExplore[[#This Row],[Draftees (2)]]+MIN(13,days_late)*days_late_draftees</f>
        <v>100</v>
      </c>
      <c r="AB92" s="157"/>
      <c r="AC92" s="183">
        <f ca="1">(TblConstr[[#This Row],[Tot Smi]]+TblConstr[[#This Row],[Dest Smi]])/(TblConstr[[#This Row],[Land]]-TblExplore[[#This Row],[Land Bonus]]*20)</f>
        <v>0</v>
      </c>
      <c r="AD92" s="140"/>
      <c r="AE92" s="261">
        <f>TblMili[[#This Row],[Hour]]</f>
        <v>89</v>
      </c>
      <c r="AF92" s="141">
        <f ca="1">TblExplore[[#This Row],[Time]]</f>
        <v>44874.666666666453</v>
      </c>
      <c r="AG92" s="182"/>
      <c r="AH92" s="182"/>
      <c r="AI92" s="182"/>
      <c r="AJ92" s="182"/>
      <c r="AK92" s="182"/>
      <c r="AL92" s="182"/>
      <c r="AM92" s="182"/>
      <c r="AN92" s="182"/>
      <c r="AO92" s="145"/>
      <c r="AP92" s="97">
        <f ca="1">TblProd[[#This Row],[Platinum]]</f>
        <v>594081</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44874.666666666453</v>
      </c>
      <c r="AV92" s="97">
        <f ca="1">TblMili[[#This Row],[Draftees]]</f>
        <v>100</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1200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4]])*2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3</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300</v>
      </c>
      <c r="C93" s="160">
        <f ca="1">TblPop[[#This Row],[Military%]]</f>
        <v>0.12831479897348161</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550</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550</v>
      </c>
      <c r="X93" s="262">
        <f ca="1">TblConstr[[#This Row],[Land]]</f>
        <v>250</v>
      </c>
      <c r="Y93" s="265"/>
      <c r="Z93" s="270">
        <f ca="1">IF(TblMili[[#This Row],[Set]]&lt;&gt;"",TblMili[[#This Row],[Set]],OFFSET(TblMili[[#This Row],[Draftrate]],-1,0))</f>
        <v>0.35</v>
      </c>
      <c r="AA93" s="97">
        <f ca="1">start_draftees - SUM(TblMili[[#This Row],[Train Unit 1]:[Train Spies]],TblMili[[#This Row],[Train Wiz]]) - TblMili[[#This Row],[Release Draft]] + SUM(TblMili[[#This Row],[Release Unit 1]:[Release AM]]) - TblExplore[[#This Row],[Draftees (2)]]+MIN(13,days_late)*days_late_draftees</f>
        <v>100</v>
      </c>
      <c r="AB93" s="157"/>
      <c r="AC93" s="183">
        <f ca="1">(TblConstr[[#This Row],[Tot Smi]]+TblConstr[[#This Row],[Dest Smi]])/(TblConstr[[#This Row],[Land]]-TblExplore[[#This Row],[Land Bonus]]*20)</f>
        <v>0</v>
      </c>
      <c r="AD93" s="140"/>
      <c r="AE93" s="261">
        <f>TblMili[[#This Row],[Hour]]</f>
        <v>90</v>
      </c>
      <c r="AF93" s="141">
        <f ca="1">TblExplore[[#This Row],[Time]]</f>
        <v>44874.708333333117</v>
      </c>
      <c r="AG93" s="182"/>
      <c r="AH93" s="182"/>
      <c r="AI93" s="182"/>
      <c r="AJ93" s="182"/>
      <c r="AK93" s="182"/>
      <c r="AL93" s="182"/>
      <c r="AM93" s="182"/>
      <c r="AN93" s="182"/>
      <c r="AO93" s="145"/>
      <c r="AP93" s="97">
        <f ca="1">TblProd[[#This Row],[Platinum]]</f>
        <v>599751</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44874.708333333117</v>
      </c>
      <c r="AV93" s="97">
        <f ca="1">TblMili[[#This Row],[Draftees]]</f>
        <v>100</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1200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4]])*2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3</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300</v>
      </c>
      <c r="C94" s="160">
        <f ca="1">TblPop[[#This Row],[Military%]]</f>
        <v>0.12831479897348161</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550</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550</v>
      </c>
      <c r="X94" s="262">
        <f ca="1">TblConstr[[#This Row],[Land]]</f>
        <v>250</v>
      </c>
      <c r="Y94" s="265"/>
      <c r="Z94" s="270">
        <f ca="1">IF(TblMili[[#This Row],[Set]]&lt;&gt;"",TblMili[[#This Row],[Set]],OFFSET(TblMili[[#This Row],[Draftrate]],-1,0))</f>
        <v>0.35</v>
      </c>
      <c r="AA94" s="97">
        <f ca="1">start_draftees - SUM(TblMili[[#This Row],[Train Unit 1]:[Train Spies]],TblMili[[#This Row],[Train Wiz]]) - TblMili[[#This Row],[Release Draft]] + SUM(TblMili[[#This Row],[Release Unit 1]:[Release AM]]) - TblExplore[[#This Row],[Draftees (2)]]+MIN(13,days_late)*days_late_draftees</f>
        <v>100</v>
      </c>
      <c r="AB94" s="157"/>
      <c r="AC94" s="183">
        <f ca="1">(TblConstr[[#This Row],[Tot Smi]]+TblConstr[[#This Row],[Dest Smi]])/(TblConstr[[#This Row],[Land]]-TblExplore[[#This Row],[Land Bonus]]*20)</f>
        <v>0</v>
      </c>
      <c r="AD94" s="140"/>
      <c r="AE94" s="261">
        <f>TblMili[[#This Row],[Hour]]</f>
        <v>91</v>
      </c>
      <c r="AF94" s="141">
        <f ca="1">TblExplore[[#This Row],[Time]]</f>
        <v>44874.749999999782</v>
      </c>
      <c r="AG94" s="182"/>
      <c r="AH94" s="182"/>
      <c r="AI94" s="182"/>
      <c r="AJ94" s="182"/>
      <c r="AK94" s="182"/>
      <c r="AL94" s="182"/>
      <c r="AM94" s="182"/>
      <c r="AN94" s="182"/>
      <c r="AO94" s="145"/>
      <c r="AP94" s="97">
        <f ca="1">TblProd[[#This Row],[Platinum]]</f>
        <v>605421</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44874.749999999782</v>
      </c>
      <c r="AV94" s="97">
        <f ca="1">TblMili[[#This Row],[Draftees]]</f>
        <v>100</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1200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4]])*2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3</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300</v>
      </c>
      <c r="C95" s="160">
        <f ca="1">TblPop[[#This Row],[Military%]]</f>
        <v>0.12831479897348161</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550</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550</v>
      </c>
      <c r="X95" s="262">
        <f ca="1">TblConstr[[#This Row],[Land]]</f>
        <v>250</v>
      </c>
      <c r="Y95" s="265"/>
      <c r="Z95" s="270">
        <f ca="1">IF(TblMili[[#This Row],[Set]]&lt;&gt;"",TblMili[[#This Row],[Set]],OFFSET(TblMili[[#This Row],[Draftrate]],-1,0))</f>
        <v>0.35</v>
      </c>
      <c r="AA95" s="97">
        <f ca="1">start_draftees - SUM(TblMili[[#This Row],[Train Unit 1]:[Train Spies]],TblMili[[#This Row],[Train Wiz]]) - TblMili[[#This Row],[Release Draft]] + SUM(TblMili[[#This Row],[Release Unit 1]:[Release AM]]) - TblExplore[[#This Row],[Draftees (2)]]+MIN(13,days_late)*days_late_draftees</f>
        <v>100</v>
      </c>
      <c r="AB95" s="157"/>
      <c r="AC95" s="183">
        <f ca="1">(TblConstr[[#This Row],[Tot Smi]]+TblConstr[[#This Row],[Dest Smi]])/(TblConstr[[#This Row],[Land]]-TblExplore[[#This Row],[Land Bonus]]*20)</f>
        <v>0</v>
      </c>
      <c r="AD95" s="140"/>
      <c r="AE95" s="261">
        <f>TblMili[[#This Row],[Hour]]</f>
        <v>92</v>
      </c>
      <c r="AF95" s="141">
        <f ca="1">TblExplore[[#This Row],[Time]]</f>
        <v>44874.791666666446</v>
      </c>
      <c r="AG95" s="182"/>
      <c r="AH95" s="182"/>
      <c r="AI95" s="182"/>
      <c r="AJ95" s="182"/>
      <c r="AK95" s="182"/>
      <c r="AL95" s="182"/>
      <c r="AM95" s="182"/>
      <c r="AN95" s="182"/>
      <c r="AO95" s="145"/>
      <c r="AP95" s="97">
        <f ca="1">TblProd[[#This Row],[Platinum]]</f>
        <v>611091</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44874.791666666446</v>
      </c>
      <c r="AV95" s="97">
        <f ca="1">TblMili[[#This Row],[Draftees]]</f>
        <v>100</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1200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4]])*2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3</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300</v>
      </c>
      <c r="C96" s="160">
        <f ca="1">TblPop[[#This Row],[Military%]]</f>
        <v>0.12831479897348161</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550</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550</v>
      </c>
      <c r="X96" s="262">
        <f ca="1">TblConstr[[#This Row],[Land]]</f>
        <v>250</v>
      </c>
      <c r="Y96" s="265"/>
      <c r="Z96" s="270">
        <f ca="1">IF(TblMili[[#This Row],[Set]]&lt;&gt;"",TblMili[[#This Row],[Set]],OFFSET(TblMili[[#This Row],[Draftrate]],-1,0))</f>
        <v>0.35</v>
      </c>
      <c r="AA96" s="97">
        <f ca="1">start_draftees - SUM(TblMili[[#This Row],[Train Unit 1]:[Train Spies]],TblMili[[#This Row],[Train Wiz]]) - TblMili[[#This Row],[Release Draft]] + SUM(TblMili[[#This Row],[Release Unit 1]:[Release AM]]) - TblExplore[[#This Row],[Draftees (2)]]+MIN(13,days_late)*days_late_draftees</f>
        <v>100</v>
      </c>
      <c r="AB96" s="157"/>
      <c r="AC96" s="183">
        <f ca="1">(TblConstr[[#This Row],[Tot Smi]]+TblConstr[[#This Row],[Dest Smi]])/(TblConstr[[#This Row],[Land]]-TblExplore[[#This Row],[Land Bonus]]*20)</f>
        <v>0</v>
      </c>
      <c r="AD96" s="140"/>
      <c r="AE96" s="261">
        <f>TblMili[[#This Row],[Hour]]</f>
        <v>93</v>
      </c>
      <c r="AF96" s="141">
        <f ca="1">TblExplore[[#This Row],[Time]]</f>
        <v>44874.83333333311</v>
      </c>
      <c r="AG96" s="182"/>
      <c r="AH96" s="182"/>
      <c r="AI96" s="182"/>
      <c r="AJ96" s="182"/>
      <c r="AK96" s="182"/>
      <c r="AL96" s="182"/>
      <c r="AM96" s="182"/>
      <c r="AN96" s="182"/>
      <c r="AO96" s="145"/>
      <c r="AP96" s="97">
        <f ca="1">TblProd[[#This Row],[Platinum]]</f>
        <v>616761</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44874.83333333311</v>
      </c>
      <c r="AV96" s="97">
        <f ca="1">TblMili[[#This Row],[Draftees]]</f>
        <v>100</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1200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4]])*2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3</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300</v>
      </c>
      <c r="C97" s="160">
        <f ca="1">TblPop[[#This Row],[Military%]]</f>
        <v>0.12831479897348161</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550</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550</v>
      </c>
      <c r="X97" s="262">
        <f ca="1">TblConstr[[#This Row],[Land]]</f>
        <v>250</v>
      </c>
      <c r="Y97" s="265"/>
      <c r="Z97" s="270">
        <f ca="1">IF(TblMili[[#This Row],[Set]]&lt;&gt;"",TblMili[[#This Row],[Set]],OFFSET(TblMili[[#This Row],[Draftrate]],-1,0))</f>
        <v>0.35</v>
      </c>
      <c r="AA97" s="97">
        <f ca="1">start_draftees - SUM(TblMili[[#This Row],[Train Unit 1]:[Train Spies]],TblMili[[#This Row],[Train Wiz]]) - TblMili[[#This Row],[Release Draft]] + SUM(TblMili[[#This Row],[Release Unit 1]:[Release AM]]) - TblExplore[[#This Row],[Draftees (2)]]+MIN(13,days_late)*days_late_draftees</f>
        <v>100</v>
      </c>
      <c r="AB97" s="157"/>
      <c r="AC97" s="183">
        <f ca="1">(TblConstr[[#This Row],[Tot Smi]]+TblConstr[[#This Row],[Dest Smi]])/(TblConstr[[#This Row],[Land]]-TblExplore[[#This Row],[Land Bonus]]*20)</f>
        <v>0</v>
      </c>
      <c r="AD97" s="140"/>
      <c r="AE97" s="261">
        <f>TblMili[[#This Row],[Hour]]</f>
        <v>94</v>
      </c>
      <c r="AF97" s="141">
        <f ca="1">TblExplore[[#This Row],[Time]]</f>
        <v>44874.874999999774</v>
      </c>
      <c r="AG97" s="182"/>
      <c r="AH97" s="182"/>
      <c r="AI97" s="182"/>
      <c r="AJ97" s="182"/>
      <c r="AK97" s="182"/>
      <c r="AL97" s="182"/>
      <c r="AM97" s="182"/>
      <c r="AN97" s="182"/>
      <c r="AO97" s="145"/>
      <c r="AP97" s="97">
        <f ca="1">TblProd[[#This Row],[Platinum]]</f>
        <v>622431</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44874.874999999774</v>
      </c>
      <c r="AV97" s="97">
        <f ca="1">TblMili[[#This Row],[Draftees]]</f>
        <v>100</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1200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4]])*2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3</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300</v>
      </c>
      <c r="C98" s="160">
        <f ca="1">TblPop[[#This Row],[Military%]]</f>
        <v>0.12831479897348161</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550</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550</v>
      </c>
      <c r="X98" s="262">
        <f ca="1">TblConstr[[#This Row],[Land]]</f>
        <v>250</v>
      </c>
      <c r="Y98" s="265"/>
      <c r="Z98" s="270">
        <f ca="1">IF(TblMili[[#This Row],[Set]]&lt;&gt;"",TblMili[[#This Row],[Set]],OFFSET(TblMili[[#This Row],[Draftrate]],-1,0))</f>
        <v>0.35</v>
      </c>
      <c r="AA98" s="97">
        <f ca="1">start_draftees - SUM(TblMili[[#This Row],[Train Unit 1]:[Train Spies]],TblMili[[#This Row],[Train Wiz]]) - TblMili[[#This Row],[Release Draft]] + SUM(TblMili[[#This Row],[Release Unit 1]:[Release AM]]) - TblExplore[[#This Row],[Draftees (2)]]+MIN(13,days_late)*days_late_draftees</f>
        <v>100</v>
      </c>
      <c r="AB98" s="157"/>
      <c r="AC98" s="183">
        <f ca="1">(TblConstr[[#This Row],[Tot Smi]]+TblConstr[[#This Row],[Dest Smi]])/(TblConstr[[#This Row],[Land]]-TblExplore[[#This Row],[Land Bonus]]*20)</f>
        <v>0</v>
      </c>
      <c r="AD98" s="140"/>
      <c r="AE98" s="261">
        <f>TblMili[[#This Row],[Hour]]</f>
        <v>95</v>
      </c>
      <c r="AF98" s="141">
        <f ca="1">TblExplore[[#This Row],[Time]]</f>
        <v>44874.916666666439</v>
      </c>
      <c r="AG98" s="182"/>
      <c r="AH98" s="182"/>
      <c r="AI98" s="182"/>
      <c r="AJ98" s="182"/>
      <c r="AK98" s="182"/>
      <c r="AL98" s="182"/>
      <c r="AM98" s="182"/>
      <c r="AN98" s="182"/>
      <c r="AO98" s="145"/>
      <c r="AP98" s="97">
        <f ca="1">TblProd[[#This Row],[Platinum]]</f>
        <v>628101</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44874.916666666439</v>
      </c>
      <c r="AV98" s="97">
        <f ca="1">TblMili[[#This Row],[Draftees]]</f>
        <v>100</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1200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4]])*2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3</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300</v>
      </c>
      <c r="C99" s="160">
        <f ca="1">TblPop[[#This Row],[Military%]]</f>
        <v>0.12831479897348161</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550</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550</v>
      </c>
      <c r="X99" s="262">
        <f ca="1">TblConstr[[#This Row],[Land]]</f>
        <v>250</v>
      </c>
      <c r="Y99" s="265"/>
      <c r="Z99" s="270">
        <f ca="1">IF(TblMili[[#This Row],[Set]]&lt;&gt;"",TblMili[[#This Row],[Set]],OFFSET(TblMili[[#This Row],[Draftrate]],-1,0))</f>
        <v>0.35</v>
      </c>
      <c r="AA99" s="97">
        <f ca="1">start_draftees - SUM(TblMili[[#This Row],[Train Unit 1]:[Train Spies]],TblMili[[#This Row],[Train Wiz]]) - TblMili[[#This Row],[Release Draft]] + SUM(TblMili[[#This Row],[Release Unit 1]:[Release AM]]) - TblExplore[[#This Row],[Draftees (2)]]+MIN(13,days_late)*days_late_draftees</f>
        <v>100</v>
      </c>
      <c r="AB99" s="157"/>
      <c r="AC99" s="183">
        <f ca="1">(TblConstr[[#This Row],[Tot Smi]]+TblConstr[[#This Row],[Dest Smi]])/(TblConstr[[#This Row],[Land]]-TblExplore[[#This Row],[Land Bonus]]*20)</f>
        <v>0</v>
      </c>
      <c r="AD99" s="140"/>
      <c r="AE99" s="261">
        <f>TblMili[[#This Row],[Hour]]</f>
        <v>96</v>
      </c>
      <c r="AF99" s="141">
        <f ca="1">TblExplore[[#This Row],[Time]]</f>
        <v>44874.958333333103</v>
      </c>
      <c r="AG99" s="182"/>
      <c r="AH99" s="182"/>
      <c r="AI99" s="182"/>
      <c r="AJ99" s="182"/>
      <c r="AK99" s="182"/>
      <c r="AL99" s="182"/>
      <c r="AM99" s="182"/>
      <c r="AN99" s="182"/>
      <c r="AO99" s="145"/>
      <c r="AP99" s="97">
        <f ca="1">TblProd[[#This Row],[Platinum]]</f>
        <v>633771</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44874.958333333103</v>
      </c>
      <c r="AV99" s="97">
        <f ca="1">TblMili[[#This Row],[Draftees]]</f>
        <v>100</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1200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4]])*2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3</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300</v>
      </c>
      <c r="C100" s="160">
        <f ca="1">TblPop[[#This Row],[Military%]]</f>
        <v>0.12831479897348161</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550</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550</v>
      </c>
      <c r="X100" s="262">
        <f ca="1">TblConstr[[#This Row],[Land]]</f>
        <v>250</v>
      </c>
      <c r="Y100" s="265"/>
      <c r="Z100" s="270">
        <f ca="1">IF(TblMili[[#This Row],[Set]]&lt;&gt;"",TblMili[[#This Row],[Set]],OFFSET(TblMili[[#This Row],[Draftrate]],-1,0))</f>
        <v>0.35</v>
      </c>
      <c r="AA100" s="97">
        <f ca="1">start_draftees - SUM(TblMili[[#This Row],[Train Unit 1]:[Train Spies]],TblMili[[#This Row],[Train Wiz]]) - TblMili[[#This Row],[Release Draft]] + SUM(TblMili[[#This Row],[Release Unit 1]:[Release AM]]) - TblExplore[[#This Row],[Draftees (2)]]+MIN(13,days_late)*days_late_draftees</f>
        <v>100</v>
      </c>
      <c r="AB100" s="157"/>
      <c r="AC100" s="183">
        <f ca="1">(TblConstr[[#This Row],[Tot Smi]]+TblConstr[[#This Row],[Dest Smi]])/(TblConstr[[#This Row],[Land]]-TblExplore[[#This Row],[Land Bonus]]*20)</f>
        <v>0</v>
      </c>
      <c r="AD100" s="140"/>
      <c r="AE100" s="261">
        <f>TblMili[[#This Row],[Hour]]</f>
        <v>97</v>
      </c>
      <c r="AF100" s="141">
        <f ca="1">TblExplore[[#This Row],[Time]]</f>
        <v>44874.999999999767</v>
      </c>
      <c r="AG100" s="182"/>
      <c r="AH100" s="182"/>
      <c r="AI100" s="182"/>
      <c r="AJ100" s="182"/>
      <c r="AK100" s="182"/>
      <c r="AL100" s="182"/>
      <c r="AM100" s="182"/>
      <c r="AN100" s="182"/>
      <c r="AO100" s="145"/>
      <c r="AP100" s="97">
        <f ca="1">TblProd[[#This Row],[Platinum]]</f>
        <v>639441</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44874.999999999767</v>
      </c>
      <c r="AV100" s="97">
        <f ca="1">TblMili[[#This Row],[Draftees]]</f>
        <v>100</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1200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4]])*2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3</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300</v>
      </c>
      <c r="C101" s="160">
        <f ca="1">TblPop[[#This Row],[Military%]]</f>
        <v>0.12831479897348161</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550</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550</v>
      </c>
      <c r="X101" s="262">
        <f ca="1">TblConstr[[#This Row],[Land]]</f>
        <v>250</v>
      </c>
      <c r="Y101" s="265"/>
      <c r="Z101" s="270">
        <f ca="1">IF(TblMili[[#This Row],[Set]]&lt;&gt;"",TblMili[[#This Row],[Set]],OFFSET(TblMili[[#This Row],[Draftrate]],-1,0))</f>
        <v>0.35</v>
      </c>
      <c r="AA101" s="97">
        <f ca="1">start_draftees - SUM(TblMili[[#This Row],[Train Unit 1]:[Train Spies]],TblMili[[#This Row],[Train Wiz]]) - TblMili[[#This Row],[Release Draft]] + SUM(TblMili[[#This Row],[Release Unit 1]:[Release AM]]) - TblExplore[[#This Row],[Draftees (2)]]+MIN(13,days_late)*days_late_draftees</f>
        <v>100</v>
      </c>
      <c r="AB101" s="157"/>
      <c r="AC101" s="183">
        <f ca="1">(TblConstr[[#This Row],[Tot Smi]]+TblConstr[[#This Row],[Dest Smi]])/(TblConstr[[#This Row],[Land]]-TblExplore[[#This Row],[Land Bonus]]*20)</f>
        <v>0</v>
      </c>
      <c r="AD101" s="140"/>
      <c r="AE101" s="261">
        <f>TblMili[[#This Row],[Hour]]</f>
        <v>98</v>
      </c>
      <c r="AF101" s="141">
        <f ca="1">TblExplore[[#This Row],[Time]]</f>
        <v>44875.041666666431</v>
      </c>
      <c r="AG101" s="182"/>
      <c r="AH101" s="182"/>
      <c r="AI101" s="182"/>
      <c r="AJ101" s="182"/>
      <c r="AK101" s="182"/>
      <c r="AL101" s="182"/>
      <c r="AM101" s="182"/>
      <c r="AN101" s="182"/>
      <c r="AO101" s="145"/>
      <c r="AP101" s="97">
        <f ca="1">TblProd[[#This Row],[Platinum]]</f>
        <v>645111</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44875.041666666431</v>
      </c>
      <c r="AV101" s="97">
        <f ca="1">TblMili[[#This Row],[Draftees]]</f>
        <v>100</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1200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4]])*2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3</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300</v>
      </c>
      <c r="C102" s="160">
        <f ca="1">TblPop[[#This Row],[Military%]]</f>
        <v>0.12831479897348161</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550</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550</v>
      </c>
      <c r="X102" s="262">
        <f ca="1">TblConstr[[#This Row],[Land]]</f>
        <v>250</v>
      </c>
      <c r="Y102" s="265"/>
      <c r="Z102" s="270">
        <f ca="1">IF(TblMili[[#This Row],[Set]]&lt;&gt;"",TblMili[[#This Row],[Set]],OFFSET(TblMili[[#This Row],[Draftrate]],-1,0))</f>
        <v>0.35</v>
      </c>
      <c r="AA102" s="97">
        <f ca="1">start_draftees - SUM(TblMili[[#This Row],[Train Unit 1]:[Train Spies]],TblMili[[#This Row],[Train Wiz]]) - TblMili[[#This Row],[Release Draft]] + SUM(TblMili[[#This Row],[Release Unit 1]:[Release AM]]) - TblExplore[[#This Row],[Draftees (2)]]+MIN(13,days_late)*days_late_draftees</f>
        <v>100</v>
      </c>
      <c r="AB102" s="157"/>
      <c r="AC102" s="183">
        <f ca="1">(TblConstr[[#This Row],[Tot Smi]]+TblConstr[[#This Row],[Dest Smi]])/(TblConstr[[#This Row],[Land]]-TblExplore[[#This Row],[Land Bonus]]*20)</f>
        <v>0</v>
      </c>
      <c r="AD102" s="140"/>
      <c r="AE102" s="261">
        <f>TblMili[[#This Row],[Hour]]</f>
        <v>99</v>
      </c>
      <c r="AF102" s="141">
        <f ca="1">TblExplore[[#This Row],[Time]]</f>
        <v>44875.083333333096</v>
      </c>
      <c r="AG102" s="182"/>
      <c r="AH102" s="182"/>
      <c r="AI102" s="182"/>
      <c r="AJ102" s="182"/>
      <c r="AK102" s="182"/>
      <c r="AL102" s="182"/>
      <c r="AM102" s="182"/>
      <c r="AN102" s="182"/>
      <c r="AO102" s="145"/>
      <c r="AP102" s="97">
        <f ca="1">TblProd[[#This Row],[Platinum]]</f>
        <v>650781</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44875.083333333096</v>
      </c>
      <c r="AV102" s="97">
        <f ca="1">TblMili[[#This Row],[Draftees]]</f>
        <v>100</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1200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4]])*2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3</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300</v>
      </c>
      <c r="C103" s="160">
        <f ca="1">TblPop[[#This Row],[Military%]]</f>
        <v>0.12831479897348161</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550</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550</v>
      </c>
      <c r="X103" s="262">
        <f ca="1">TblConstr[[#This Row],[Land]]</f>
        <v>250</v>
      </c>
      <c r="Y103" s="265"/>
      <c r="Z103" s="270">
        <f ca="1">IF(TblMili[[#This Row],[Set]]&lt;&gt;"",TblMili[[#This Row],[Set]],OFFSET(TblMili[[#This Row],[Draftrate]],-1,0))</f>
        <v>0.35</v>
      </c>
      <c r="AA103" s="97">
        <f ca="1">start_draftees - SUM(TblMili[[#This Row],[Train Unit 1]:[Train Spies]],TblMili[[#This Row],[Train Wiz]]) - TblMili[[#This Row],[Release Draft]] + SUM(TblMili[[#This Row],[Release Unit 1]:[Release AM]]) - TblExplore[[#This Row],[Draftees (2)]]+MIN(13,days_late)*days_late_draftees</f>
        <v>100</v>
      </c>
      <c r="AB103" s="157"/>
      <c r="AC103" s="183">
        <f ca="1">(TblConstr[[#This Row],[Tot Smi]]+TblConstr[[#This Row],[Dest Smi]])/(TblConstr[[#This Row],[Land]]-TblExplore[[#This Row],[Land Bonus]]*20)</f>
        <v>0</v>
      </c>
      <c r="AD103" s="140"/>
      <c r="AE103" s="261">
        <f>TblMili[[#This Row],[Hour]]</f>
        <v>100</v>
      </c>
      <c r="AF103" s="141">
        <f ca="1">TblExplore[[#This Row],[Time]]</f>
        <v>44875.12499999976</v>
      </c>
      <c r="AG103" s="182"/>
      <c r="AH103" s="182"/>
      <c r="AI103" s="182"/>
      <c r="AJ103" s="182"/>
      <c r="AK103" s="182"/>
      <c r="AL103" s="182"/>
      <c r="AM103" s="182"/>
      <c r="AN103" s="182"/>
      <c r="AO103" s="145"/>
      <c r="AP103" s="97">
        <f ca="1">TblProd[[#This Row],[Platinum]]</f>
        <v>656451</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44875.12499999976</v>
      </c>
      <c r="AV103" s="97">
        <f ca="1">TblMili[[#This Row],[Draftees]]</f>
        <v>100</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1200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4]])*2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3</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300</v>
      </c>
      <c r="C104" s="160">
        <f ca="1">TblPop[[#This Row],[Military%]]</f>
        <v>0.12831479897348161</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550</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550</v>
      </c>
      <c r="X104" s="262">
        <f ca="1">TblConstr[[#This Row],[Land]]</f>
        <v>250</v>
      </c>
      <c r="Y104" s="265"/>
      <c r="Z104" s="270">
        <f ca="1">IF(TblMili[[#This Row],[Set]]&lt;&gt;"",TblMili[[#This Row],[Set]],OFFSET(TblMili[[#This Row],[Draftrate]],-1,0))</f>
        <v>0.35</v>
      </c>
      <c r="AA104" s="97">
        <f ca="1">start_draftees - SUM(TblMili[[#This Row],[Train Unit 1]:[Train Spies]],TblMili[[#This Row],[Train Wiz]]) - TblMili[[#This Row],[Release Draft]] + SUM(TblMili[[#This Row],[Release Unit 1]:[Release AM]]) - TblExplore[[#This Row],[Draftees (2)]]+MIN(13,days_late)*days_late_draftees</f>
        <v>100</v>
      </c>
      <c r="AB104" s="157"/>
      <c r="AC104" s="183">
        <f ca="1">(TblConstr[[#This Row],[Tot Smi]]+TblConstr[[#This Row],[Dest Smi]])/(TblConstr[[#This Row],[Land]]-TblExplore[[#This Row],[Land Bonus]]*20)</f>
        <v>0</v>
      </c>
      <c r="AD104" s="140"/>
      <c r="AE104" s="261">
        <f>TblMili[[#This Row],[Hour]]</f>
        <v>101</v>
      </c>
      <c r="AF104" s="141">
        <f ca="1">TblExplore[[#This Row],[Time]]</f>
        <v>44875.166666666424</v>
      </c>
      <c r="AG104" s="182"/>
      <c r="AH104" s="182"/>
      <c r="AI104" s="182"/>
      <c r="AJ104" s="182"/>
      <c r="AK104" s="182"/>
      <c r="AL104" s="182"/>
      <c r="AM104" s="182"/>
      <c r="AN104" s="182"/>
      <c r="AO104" s="145"/>
      <c r="AP104" s="97">
        <f ca="1">TblProd[[#This Row],[Platinum]]</f>
        <v>662121</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44875.166666666424</v>
      </c>
      <c r="AV104" s="97">
        <f ca="1">TblMili[[#This Row],[Draftees]]</f>
        <v>100</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1200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4]])*2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3</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300</v>
      </c>
      <c r="C105" s="160">
        <f ca="1">TblPop[[#This Row],[Military%]]</f>
        <v>0.12831479897348161</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550</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550</v>
      </c>
      <c r="X105" s="262">
        <f ca="1">TblConstr[[#This Row],[Land]]</f>
        <v>250</v>
      </c>
      <c r="Y105" s="265"/>
      <c r="Z105" s="270">
        <f ca="1">IF(TblMili[[#This Row],[Set]]&lt;&gt;"",TblMili[[#This Row],[Set]],OFFSET(TblMili[[#This Row],[Draftrate]],-1,0))</f>
        <v>0.35</v>
      </c>
      <c r="AA105" s="97">
        <f ca="1">start_draftees - SUM(TblMili[[#This Row],[Train Unit 1]:[Train Spies]],TblMili[[#This Row],[Train Wiz]]) - TblMili[[#This Row],[Release Draft]] + SUM(TblMili[[#This Row],[Release Unit 1]:[Release AM]]) - TblExplore[[#This Row],[Draftees (2)]]+MIN(13,days_late)*days_late_draftees</f>
        <v>100</v>
      </c>
      <c r="AB105" s="157"/>
      <c r="AC105" s="183">
        <f ca="1">(TblConstr[[#This Row],[Tot Smi]]+TblConstr[[#This Row],[Dest Smi]])/(TblConstr[[#This Row],[Land]]-TblExplore[[#This Row],[Land Bonus]]*20)</f>
        <v>0</v>
      </c>
      <c r="AD105" s="140"/>
      <c r="AE105" s="261">
        <f>TblMili[[#This Row],[Hour]]</f>
        <v>102</v>
      </c>
      <c r="AF105" s="141">
        <f ca="1">TblExplore[[#This Row],[Time]]</f>
        <v>44875.208333333088</v>
      </c>
      <c r="AG105" s="182"/>
      <c r="AH105" s="182"/>
      <c r="AI105" s="182"/>
      <c r="AJ105" s="182"/>
      <c r="AK105" s="182"/>
      <c r="AL105" s="182"/>
      <c r="AM105" s="182"/>
      <c r="AN105" s="182"/>
      <c r="AO105" s="145"/>
      <c r="AP105" s="97">
        <f ca="1">TblProd[[#This Row],[Platinum]]</f>
        <v>667791</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44875.208333333088</v>
      </c>
      <c r="AV105" s="97">
        <f ca="1">TblMili[[#This Row],[Draftees]]</f>
        <v>100</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1200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4]])*2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3</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300</v>
      </c>
      <c r="C106" s="160">
        <f ca="1">TblPop[[#This Row],[Military%]]</f>
        <v>0.12831479897348161</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550</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550</v>
      </c>
      <c r="X106" s="262">
        <f ca="1">TblConstr[[#This Row],[Land]]</f>
        <v>250</v>
      </c>
      <c r="Y106" s="265"/>
      <c r="Z106" s="270">
        <f ca="1">IF(TblMili[[#This Row],[Set]]&lt;&gt;"",TblMili[[#This Row],[Set]],OFFSET(TblMili[[#This Row],[Draftrate]],-1,0))</f>
        <v>0.35</v>
      </c>
      <c r="AA106" s="97">
        <f ca="1">start_draftees - SUM(TblMili[[#This Row],[Train Unit 1]:[Train Spies]],TblMili[[#This Row],[Train Wiz]]) - TblMili[[#This Row],[Release Draft]] + SUM(TblMili[[#This Row],[Release Unit 1]:[Release AM]]) - TblExplore[[#This Row],[Draftees (2)]]+MIN(13,days_late)*days_late_draftees</f>
        <v>100</v>
      </c>
      <c r="AB106" s="157"/>
      <c r="AC106" s="183">
        <f ca="1">(TblConstr[[#This Row],[Tot Smi]]+TblConstr[[#This Row],[Dest Smi]])/(TblConstr[[#This Row],[Land]]-TblExplore[[#This Row],[Land Bonus]]*20)</f>
        <v>0</v>
      </c>
      <c r="AD106" s="140"/>
      <c r="AE106" s="261">
        <f>TblMili[[#This Row],[Hour]]</f>
        <v>103</v>
      </c>
      <c r="AF106" s="141">
        <f ca="1">TblExplore[[#This Row],[Time]]</f>
        <v>44875.249999999753</v>
      </c>
      <c r="AG106" s="182"/>
      <c r="AH106" s="182"/>
      <c r="AI106" s="182"/>
      <c r="AJ106" s="182"/>
      <c r="AK106" s="182"/>
      <c r="AL106" s="182"/>
      <c r="AM106" s="182"/>
      <c r="AN106" s="182"/>
      <c r="AO106" s="145"/>
      <c r="AP106" s="97">
        <f ca="1">TblProd[[#This Row],[Platinum]]</f>
        <v>673461</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44875.249999999753</v>
      </c>
      <c r="AV106" s="97">
        <f ca="1">TblMili[[#This Row],[Draftees]]</f>
        <v>100</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1200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4]])*2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3</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300</v>
      </c>
      <c r="C107" s="160">
        <f ca="1">TblPop[[#This Row],[Military%]]</f>
        <v>0.12831479897348161</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550</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550</v>
      </c>
      <c r="X107" s="262">
        <f ca="1">TblConstr[[#This Row],[Land]]</f>
        <v>250</v>
      </c>
      <c r="Y107" s="265"/>
      <c r="Z107" s="270">
        <f ca="1">IF(TblMili[[#This Row],[Set]]&lt;&gt;"",TblMili[[#This Row],[Set]],OFFSET(TblMili[[#This Row],[Draftrate]],-1,0))</f>
        <v>0.35</v>
      </c>
      <c r="AA107" s="97">
        <f ca="1">start_draftees - SUM(TblMili[[#This Row],[Train Unit 1]:[Train Spies]],TblMili[[#This Row],[Train Wiz]]) - TblMili[[#This Row],[Release Draft]] + SUM(TblMili[[#This Row],[Release Unit 1]:[Release AM]]) - TblExplore[[#This Row],[Draftees (2)]]+MIN(13,days_late)*days_late_draftees</f>
        <v>100</v>
      </c>
      <c r="AB107" s="157"/>
      <c r="AC107" s="183">
        <f ca="1">(TblConstr[[#This Row],[Tot Smi]]+TblConstr[[#This Row],[Dest Smi]])/(TblConstr[[#This Row],[Land]]-TblExplore[[#This Row],[Land Bonus]]*20)</f>
        <v>0</v>
      </c>
      <c r="AD107" s="140"/>
      <c r="AE107" s="261">
        <f>TblMili[[#This Row],[Hour]]</f>
        <v>104</v>
      </c>
      <c r="AF107" s="141">
        <f ca="1">TblExplore[[#This Row],[Time]]</f>
        <v>44875.291666666417</v>
      </c>
      <c r="AG107" s="182"/>
      <c r="AH107" s="182"/>
      <c r="AI107" s="182"/>
      <c r="AJ107" s="182"/>
      <c r="AK107" s="182"/>
      <c r="AL107" s="182"/>
      <c r="AM107" s="182"/>
      <c r="AN107" s="182"/>
      <c r="AO107" s="145"/>
      <c r="AP107" s="97">
        <f ca="1">TblProd[[#This Row],[Platinum]]</f>
        <v>679131</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44875.291666666417</v>
      </c>
      <c r="AV107" s="97">
        <f ca="1">TblMili[[#This Row],[Draftees]]</f>
        <v>100</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1200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4]])*2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3</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300</v>
      </c>
      <c r="C108" s="160">
        <f ca="1">TblPop[[#This Row],[Military%]]</f>
        <v>0.12831479897348161</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550</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550</v>
      </c>
      <c r="X108" s="262">
        <f ca="1">TblConstr[[#This Row],[Land]]</f>
        <v>250</v>
      </c>
      <c r="Y108" s="265"/>
      <c r="Z108" s="270">
        <f ca="1">IF(TblMili[[#This Row],[Set]]&lt;&gt;"",TblMili[[#This Row],[Set]],OFFSET(TblMili[[#This Row],[Draftrate]],-1,0))</f>
        <v>0.35</v>
      </c>
      <c r="AA108" s="97">
        <f ca="1">start_draftees - SUM(TblMili[[#This Row],[Train Unit 1]:[Train Spies]],TblMili[[#This Row],[Train Wiz]]) - TblMili[[#This Row],[Release Draft]] + SUM(TblMili[[#This Row],[Release Unit 1]:[Release AM]]) - TblExplore[[#This Row],[Draftees (2)]]+MIN(13,days_late)*days_late_draftees</f>
        <v>100</v>
      </c>
      <c r="AB108" s="157"/>
      <c r="AC108" s="183">
        <f ca="1">(TblConstr[[#This Row],[Tot Smi]]+TblConstr[[#This Row],[Dest Smi]])/(TblConstr[[#This Row],[Land]]-TblExplore[[#This Row],[Land Bonus]]*20)</f>
        <v>0</v>
      </c>
      <c r="AD108" s="140"/>
      <c r="AE108" s="261">
        <f>TblMili[[#This Row],[Hour]]</f>
        <v>105</v>
      </c>
      <c r="AF108" s="141">
        <f ca="1">TblExplore[[#This Row],[Time]]</f>
        <v>44875.333333333081</v>
      </c>
      <c r="AG108" s="182"/>
      <c r="AH108" s="182"/>
      <c r="AI108" s="182"/>
      <c r="AJ108" s="182"/>
      <c r="AK108" s="182"/>
      <c r="AL108" s="182"/>
      <c r="AM108" s="182"/>
      <c r="AN108" s="182"/>
      <c r="AO108" s="145"/>
      <c r="AP108" s="97">
        <f ca="1">TblProd[[#This Row],[Platinum]]</f>
        <v>684801</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44875.333333333081</v>
      </c>
      <c r="AV108" s="97">
        <f ca="1">TblMili[[#This Row],[Draftees]]</f>
        <v>100</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1200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4]])*2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3</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300</v>
      </c>
      <c r="C109" s="160">
        <f ca="1">TblPop[[#This Row],[Military%]]</f>
        <v>0.12831479897348161</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550</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550</v>
      </c>
      <c r="X109" s="262">
        <f ca="1">TblConstr[[#This Row],[Land]]</f>
        <v>250</v>
      </c>
      <c r="Y109" s="265"/>
      <c r="Z109" s="270">
        <f ca="1">IF(TblMili[[#This Row],[Set]]&lt;&gt;"",TblMili[[#This Row],[Set]],OFFSET(TblMili[[#This Row],[Draftrate]],-1,0))</f>
        <v>0.35</v>
      </c>
      <c r="AA109" s="97">
        <f ca="1">start_draftees - SUM(TblMili[[#This Row],[Train Unit 1]:[Train Spies]],TblMili[[#This Row],[Train Wiz]]) - TblMili[[#This Row],[Release Draft]] + SUM(TblMili[[#This Row],[Release Unit 1]:[Release AM]]) - TblExplore[[#This Row],[Draftees (2)]]+MIN(13,days_late)*days_late_draftees</f>
        <v>100</v>
      </c>
      <c r="AB109" s="157"/>
      <c r="AC109" s="183">
        <f ca="1">(TblConstr[[#This Row],[Tot Smi]]+TblConstr[[#This Row],[Dest Smi]])/(TblConstr[[#This Row],[Land]]-TblExplore[[#This Row],[Land Bonus]]*20)</f>
        <v>0</v>
      </c>
      <c r="AD109" s="140"/>
      <c r="AE109" s="261">
        <f>TblMili[[#This Row],[Hour]]</f>
        <v>106</v>
      </c>
      <c r="AF109" s="141">
        <f ca="1">TblExplore[[#This Row],[Time]]</f>
        <v>44875.374999999745</v>
      </c>
      <c r="AG109" s="182"/>
      <c r="AH109" s="182"/>
      <c r="AI109" s="182"/>
      <c r="AJ109" s="182"/>
      <c r="AK109" s="182"/>
      <c r="AL109" s="182"/>
      <c r="AM109" s="182"/>
      <c r="AN109" s="182"/>
      <c r="AO109" s="145"/>
      <c r="AP109" s="97">
        <f ca="1">TblProd[[#This Row],[Platinum]]</f>
        <v>690471</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44875.374999999745</v>
      </c>
      <c r="AV109" s="97">
        <f ca="1">TblMili[[#This Row],[Draftees]]</f>
        <v>100</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1200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4]])*2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3</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300</v>
      </c>
      <c r="C110" s="160">
        <f ca="1">TblPop[[#This Row],[Military%]]</f>
        <v>0.12831479897348161</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550</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550</v>
      </c>
      <c r="X110" s="262">
        <f ca="1">TblConstr[[#This Row],[Land]]</f>
        <v>250</v>
      </c>
      <c r="Y110" s="265"/>
      <c r="Z110" s="270">
        <f ca="1">IF(TblMili[[#This Row],[Set]]&lt;&gt;"",TblMili[[#This Row],[Set]],OFFSET(TblMili[[#This Row],[Draftrate]],-1,0))</f>
        <v>0.35</v>
      </c>
      <c r="AA110" s="97">
        <f ca="1">start_draftees - SUM(TblMili[[#This Row],[Train Unit 1]:[Train Spies]],TblMili[[#This Row],[Train Wiz]]) - TblMili[[#This Row],[Release Draft]] + SUM(TblMili[[#This Row],[Release Unit 1]:[Release AM]]) - TblExplore[[#This Row],[Draftees (2)]]+MIN(13,days_late)*days_late_draftees</f>
        <v>100</v>
      </c>
      <c r="AB110" s="157"/>
      <c r="AC110" s="183">
        <f ca="1">(TblConstr[[#This Row],[Tot Smi]]+TblConstr[[#This Row],[Dest Smi]])/(TblConstr[[#This Row],[Land]]-TblExplore[[#This Row],[Land Bonus]]*20)</f>
        <v>0</v>
      </c>
      <c r="AD110" s="140"/>
      <c r="AE110" s="261">
        <f>TblMili[[#This Row],[Hour]]</f>
        <v>107</v>
      </c>
      <c r="AF110" s="141">
        <f ca="1">TblExplore[[#This Row],[Time]]</f>
        <v>44875.41666666641</v>
      </c>
      <c r="AG110" s="182"/>
      <c r="AH110" s="182"/>
      <c r="AI110" s="182"/>
      <c r="AJ110" s="182"/>
      <c r="AK110" s="182"/>
      <c r="AL110" s="182"/>
      <c r="AM110" s="182"/>
      <c r="AN110" s="182"/>
      <c r="AO110" s="145"/>
      <c r="AP110" s="97">
        <f ca="1">TblProd[[#This Row],[Platinum]]</f>
        <v>696141</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44875.41666666641</v>
      </c>
      <c r="AV110" s="97">
        <f ca="1">TblMili[[#This Row],[Draftees]]</f>
        <v>100</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1200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4]])*2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3</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300</v>
      </c>
      <c r="C111" s="160">
        <f ca="1">TblPop[[#This Row],[Military%]]</f>
        <v>0.12831479897348161</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550</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550</v>
      </c>
      <c r="X111" s="262">
        <f ca="1">TblConstr[[#This Row],[Land]]</f>
        <v>250</v>
      </c>
      <c r="Y111" s="265"/>
      <c r="Z111" s="270">
        <f ca="1">IF(TblMili[[#This Row],[Set]]&lt;&gt;"",TblMili[[#This Row],[Set]],OFFSET(TblMili[[#This Row],[Draftrate]],-1,0))</f>
        <v>0.35</v>
      </c>
      <c r="AA111" s="97">
        <f ca="1">start_draftees - SUM(TblMili[[#This Row],[Train Unit 1]:[Train Spies]],TblMili[[#This Row],[Train Wiz]]) - TblMili[[#This Row],[Release Draft]] + SUM(TblMili[[#This Row],[Release Unit 1]:[Release AM]]) - TblExplore[[#This Row],[Draftees (2)]]+MIN(13,days_late)*days_late_draftees</f>
        <v>100</v>
      </c>
      <c r="AB111" s="157"/>
      <c r="AC111" s="183">
        <f ca="1">(TblConstr[[#This Row],[Tot Smi]]+TblConstr[[#This Row],[Dest Smi]])/(TblConstr[[#This Row],[Land]]-TblExplore[[#This Row],[Land Bonus]]*20)</f>
        <v>0</v>
      </c>
      <c r="AD111" s="140"/>
      <c r="AE111" s="261">
        <f>TblMili[[#This Row],[Hour]]</f>
        <v>108</v>
      </c>
      <c r="AF111" s="141">
        <f ca="1">TblExplore[[#This Row],[Time]]</f>
        <v>44875.458333333074</v>
      </c>
      <c r="AG111" s="182"/>
      <c r="AH111" s="182"/>
      <c r="AI111" s="182"/>
      <c r="AJ111" s="182"/>
      <c r="AK111" s="182"/>
      <c r="AL111" s="182"/>
      <c r="AM111" s="182"/>
      <c r="AN111" s="182"/>
      <c r="AO111" s="145"/>
      <c r="AP111" s="97">
        <f ca="1">TblProd[[#This Row],[Platinum]]</f>
        <v>701811</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44875.458333333074</v>
      </c>
      <c r="AV111" s="97">
        <f ca="1">TblMili[[#This Row],[Draftees]]</f>
        <v>100</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1200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4]])*2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3</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300</v>
      </c>
      <c r="C112" s="160">
        <f ca="1">TblPop[[#This Row],[Military%]]</f>
        <v>0.12831479897348161</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550</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550</v>
      </c>
      <c r="X112" s="262">
        <f ca="1">TblConstr[[#This Row],[Land]]</f>
        <v>250</v>
      </c>
      <c r="Y112" s="265"/>
      <c r="Z112" s="270">
        <f ca="1">IF(TblMili[[#This Row],[Set]]&lt;&gt;"",TblMili[[#This Row],[Set]],OFFSET(TblMili[[#This Row],[Draftrate]],-1,0))</f>
        <v>0.35</v>
      </c>
      <c r="AA112" s="97">
        <f ca="1">start_draftees - SUM(TblMili[[#This Row],[Train Unit 1]:[Train Spies]],TblMili[[#This Row],[Train Wiz]]) - TblMili[[#This Row],[Release Draft]] + SUM(TblMili[[#This Row],[Release Unit 1]:[Release AM]]) - TblExplore[[#This Row],[Draftees (2)]]+MIN(13,days_late)*days_late_draftees</f>
        <v>100</v>
      </c>
      <c r="AB112" s="157"/>
      <c r="AC112" s="183">
        <f ca="1">(TblConstr[[#This Row],[Tot Smi]]+TblConstr[[#This Row],[Dest Smi]])/(TblConstr[[#This Row],[Land]]-TblExplore[[#This Row],[Land Bonus]]*20)</f>
        <v>0</v>
      </c>
      <c r="AD112" s="140"/>
      <c r="AE112" s="261">
        <f>TblMili[[#This Row],[Hour]]</f>
        <v>109</v>
      </c>
      <c r="AF112" s="141">
        <f ca="1">TblExplore[[#This Row],[Time]]</f>
        <v>44875.499999999738</v>
      </c>
      <c r="AG112" s="182"/>
      <c r="AH112" s="182"/>
      <c r="AI112" s="182"/>
      <c r="AJ112" s="182"/>
      <c r="AK112" s="182"/>
      <c r="AL112" s="182"/>
      <c r="AM112" s="182"/>
      <c r="AN112" s="182"/>
      <c r="AO112" s="145"/>
      <c r="AP112" s="97">
        <f ca="1">TblProd[[#This Row],[Platinum]]</f>
        <v>707481</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44875.499999999738</v>
      </c>
      <c r="AV112" s="97">
        <f ca="1">TblMili[[#This Row],[Draftees]]</f>
        <v>100</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1200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4]])*2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3</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300</v>
      </c>
      <c r="C113" s="160">
        <f ca="1">TblPop[[#This Row],[Military%]]</f>
        <v>0.12831479897348161</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550</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550</v>
      </c>
      <c r="X113" s="262">
        <f ca="1">TblConstr[[#This Row],[Land]]</f>
        <v>250</v>
      </c>
      <c r="Y113" s="265"/>
      <c r="Z113" s="270">
        <f ca="1">IF(TblMili[[#This Row],[Set]]&lt;&gt;"",TblMili[[#This Row],[Set]],OFFSET(TblMili[[#This Row],[Draftrate]],-1,0))</f>
        <v>0.35</v>
      </c>
      <c r="AA113" s="97">
        <f ca="1">start_draftees - SUM(TblMili[[#This Row],[Train Unit 1]:[Train Spies]],TblMili[[#This Row],[Train Wiz]]) - TblMili[[#This Row],[Release Draft]] + SUM(TblMili[[#This Row],[Release Unit 1]:[Release AM]]) - TblExplore[[#This Row],[Draftees (2)]]+MIN(13,days_late)*days_late_draftees</f>
        <v>100</v>
      </c>
      <c r="AB113" s="157"/>
      <c r="AC113" s="183">
        <f ca="1">(TblConstr[[#This Row],[Tot Smi]]+TblConstr[[#This Row],[Dest Smi]])/(TblConstr[[#This Row],[Land]]-TblExplore[[#This Row],[Land Bonus]]*20)</f>
        <v>0</v>
      </c>
      <c r="AD113" s="140"/>
      <c r="AE113" s="261">
        <f>TblMili[[#This Row],[Hour]]</f>
        <v>110</v>
      </c>
      <c r="AF113" s="141">
        <f ca="1">TblExplore[[#This Row],[Time]]</f>
        <v>44875.541666666402</v>
      </c>
      <c r="AG113" s="182"/>
      <c r="AH113" s="182"/>
      <c r="AI113" s="182"/>
      <c r="AJ113" s="182"/>
      <c r="AK113" s="182"/>
      <c r="AL113" s="182"/>
      <c r="AM113" s="182"/>
      <c r="AN113" s="182"/>
      <c r="AO113" s="145"/>
      <c r="AP113" s="97">
        <f ca="1">TblProd[[#This Row],[Platinum]]</f>
        <v>713151</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44875.541666666402</v>
      </c>
      <c r="AV113" s="97">
        <f ca="1">TblMili[[#This Row],[Draftees]]</f>
        <v>100</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1200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4]])*2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3</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300</v>
      </c>
      <c r="C114" s="160">
        <f ca="1">TblPop[[#This Row],[Military%]]</f>
        <v>0.12831479897348161</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550</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550</v>
      </c>
      <c r="X114" s="262">
        <f ca="1">TblConstr[[#This Row],[Land]]</f>
        <v>250</v>
      </c>
      <c r="Y114" s="265"/>
      <c r="Z114" s="270">
        <f ca="1">IF(TblMili[[#This Row],[Set]]&lt;&gt;"",TblMili[[#This Row],[Set]],OFFSET(TblMili[[#This Row],[Draftrate]],-1,0))</f>
        <v>0.35</v>
      </c>
      <c r="AA114" s="97">
        <f ca="1">start_draftees - SUM(TblMili[[#This Row],[Train Unit 1]:[Train Spies]],TblMili[[#This Row],[Train Wiz]]) - TblMili[[#This Row],[Release Draft]] + SUM(TblMili[[#This Row],[Release Unit 1]:[Release AM]]) - TblExplore[[#This Row],[Draftees (2)]]+MIN(13,days_late)*days_late_draftees</f>
        <v>100</v>
      </c>
      <c r="AB114" s="157"/>
      <c r="AC114" s="183">
        <f ca="1">(TblConstr[[#This Row],[Tot Smi]]+TblConstr[[#This Row],[Dest Smi]])/(TblConstr[[#This Row],[Land]]-TblExplore[[#This Row],[Land Bonus]]*20)</f>
        <v>0</v>
      </c>
      <c r="AD114" s="140"/>
      <c r="AE114" s="261">
        <f>TblMili[[#This Row],[Hour]]</f>
        <v>111</v>
      </c>
      <c r="AF114" s="141">
        <f ca="1">TblExplore[[#This Row],[Time]]</f>
        <v>44875.583333333067</v>
      </c>
      <c r="AG114" s="182"/>
      <c r="AH114" s="182"/>
      <c r="AI114" s="182"/>
      <c r="AJ114" s="182"/>
      <c r="AK114" s="182"/>
      <c r="AL114" s="182"/>
      <c r="AM114" s="182"/>
      <c r="AN114" s="182"/>
      <c r="AO114" s="145"/>
      <c r="AP114" s="97">
        <f ca="1">TblProd[[#This Row],[Platinum]]</f>
        <v>718821</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44875.583333333067</v>
      </c>
      <c r="AV114" s="97">
        <f ca="1">TblMili[[#This Row],[Draftees]]</f>
        <v>100</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1200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4]])*2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3</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300</v>
      </c>
      <c r="C115" s="160">
        <f ca="1">TblPop[[#This Row],[Military%]]</f>
        <v>0.12831479897348161</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550</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550</v>
      </c>
      <c r="X115" s="262">
        <f ca="1">TblConstr[[#This Row],[Land]]</f>
        <v>250</v>
      </c>
      <c r="Y115" s="265"/>
      <c r="Z115" s="270">
        <f ca="1">IF(TblMili[[#This Row],[Set]]&lt;&gt;"",TblMili[[#This Row],[Set]],OFFSET(TblMili[[#This Row],[Draftrate]],-1,0))</f>
        <v>0.35</v>
      </c>
      <c r="AA115" s="97">
        <f ca="1">start_draftees - SUM(TblMili[[#This Row],[Train Unit 1]:[Train Spies]],TblMili[[#This Row],[Train Wiz]]) - TblMili[[#This Row],[Release Draft]] + SUM(TblMili[[#This Row],[Release Unit 1]:[Release AM]]) - TblExplore[[#This Row],[Draftees (2)]]+MIN(13,days_late)*days_late_draftees</f>
        <v>100</v>
      </c>
      <c r="AB115" s="157"/>
      <c r="AC115" s="183">
        <f ca="1">(TblConstr[[#This Row],[Tot Smi]]+TblConstr[[#This Row],[Dest Smi]])/(TblConstr[[#This Row],[Land]]-TblExplore[[#This Row],[Land Bonus]]*20)</f>
        <v>0</v>
      </c>
      <c r="AD115" s="140"/>
      <c r="AE115" s="261">
        <f>TblMili[[#This Row],[Hour]]</f>
        <v>112</v>
      </c>
      <c r="AF115" s="141">
        <f ca="1">TblExplore[[#This Row],[Time]]</f>
        <v>44875.624999999731</v>
      </c>
      <c r="AG115" s="182"/>
      <c r="AH115" s="182"/>
      <c r="AI115" s="182"/>
      <c r="AJ115" s="182"/>
      <c r="AK115" s="182"/>
      <c r="AL115" s="182"/>
      <c r="AM115" s="182"/>
      <c r="AN115" s="182"/>
      <c r="AO115" s="145"/>
      <c r="AP115" s="97">
        <f ca="1">TblProd[[#This Row],[Platinum]]</f>
        <v>724491</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44875.624999999731</v>
      </c>
      <c r="AV115" s="97">
        <f ca="1">TblMili[[#This Row],[Draftees]]</f>
        <v>100</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1200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4]])*2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3</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300</v>
      </c>
      <c r="C116" s="160">
        <f ca="1">TblPop[[#This Row],[Military%]]</f>
        <v>0.12831479897348161</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550</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550</v>
      </c>
      <c r="X116" s="262">
        <f ca="1">TblConstr[[#This Row],[Land]]</f>
        <v>250</v>
      </c>
      <c r="Y116" s="265"/>
      <c r="Z116" s="270">
        <f ca="1">IF(TblMili[[#This Row],[Set]]&lt;&gt;"",TblMili[[#This Row],[Set]],OFFSET(TblMili[[#This Row],[Draftrate]],-1,0))</f>
        <v>0.35</v>
      </c>
      <c r="AA116" s="97">
        <f ca="1">start_draftees - SUM(TblMili[[#This Row],[Train Unit 1]:[Train Spies]],TblMili[[#This Row],[Train Wiz]]) - TblMili[[#This Row],[Release Draft]] + SUM(TblMili[[#This Row],[Release Unit 1]:[Release AM]]) - TblExplore[[#This Row],[Draftees (2)]]+MIN(13,days_late)*days_late_draftees</f>
        <v>100</v>
      </c>
      <c r="AB116" s="157"/>
      <c r="AC116" s="183">
        <f ca="1">(TblConstr[[#This Row],[Tot Smi]]+TblConstr[[#This Row],[Dest Smi]])/(TblConstr[[#This Row],[Land]]-TblExplore[[#This Row],[Land Bonus]]*20)</f>
        <v>0</v>
      </c>
      <c r="AD116" s="140"/>
      <c r="AE116" s="261">
        <f>TblMili[[#This Row],[Hour]]</f>
        <v>113</v>
      </c>
      <c r="AF116" s="141">
        <f ca="1">TblExplore[[#This Row],[Time]]</f>
        <v>44875.666666666395</v>
      </c>
      <c r="AG116" s="182"/>
      <c r="AH116" s="182"/>
      <c r="AI116" s="182"/>
      <c r="AJ116" s="182"/>
      <c r="AK116" s="182"/>
      <c r="AL116" s="182"/>
      <c r="AM116" s="182"/>
      <c r="AN116" s="182"/>
      <c r="AO116" s="145"/>
      <c r="AP116" s="97">
        <f ca="1">TblProd[[#This Row],[Platinum]]</f>
        <v>730161</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44875.666666666395</v>
      </c>
      <c r="AV116" s="97">
        <f ca="1">TblMili[[#This Row],[Draftees]]</f>
        <v>100</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1200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4]])*2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3</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300</v>
      </c>
      <c r="C117" s="160">
        <f ca="1">TblPop[[#This Row],[Military%]]</f>
        <v>0.12831479897348161</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550</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550</v>
      </c>
      <c r="X117" s="262">
        <f ca="1">TblConstr[[#This Row],[Land]]</f>
        <v>250</v>
      </c>
      <c r="Y117" s="265"/>
      <c r="Z117" s="270">
        <f ca="1">IF(TblMili[[#This Row],[Set]]&lt;&gt;"",TblMili[[#This Row],[Set]],OFFSET(TblMili[[#This Row],[Draftrate]],-1,0))</f>
        <v>0.35</v>
      </c>
      <c r="AA117" s="97">
        <f ca="1">start_draftees - SUM(TblMili[[#This Row],[Train Unit 1]:[Train Spies]],TblMili[[#This Row],[Train Wiz]]) - TblMili[[#This Row],[Release Draft]] + SUM(TblMili[[#This Row],[Release Unit 1]:[Release AM]]) - TblExplore[[#This Row],[Draftees (2)]]+MIN(13,days_late)*days_late_draftees</f>
        <v>100</v>
      </c>
      <c r="AB117" s="157"/>
      <c r="AC117" s="183">
        <f ca="1">(TblConstr[[#This Row],[Tot Smi]]+TblConstr[[#This Row],[Dest Smi]])/(TblConstr[[#This Row],[Land]]-TblExplore[[#This Row],[Land Bonus]]*20)</f>
        <v>0</v>
      </c>
      <c r="AD117" s="140"/>
      <c r="AE117" s="261">
        <f>TblMili[[#This Row],[Hour]]</f>
        <v>114</v>
      </c>
      <c r="AF117" s="141">
        <f ca="1">TblExplore[[#This Row],[Time]]</f>
        <v>44875.708333333059</v>
      </c>
      <c r="AG117" s="182"/>
      <c r="AH117" s="182"/>
      <c r="AI117" s="182"/>
      <c r="AJ117" s="182"/>
      <c r="AK117" s="182"/>
      <c r="AL117" s="182"/>
      <c r="AM117" s="182"/>
      <c r="AN117" s="182"/>
      <c r="AO117" s="145"/>
      <c r="AP117" s="97">
        <f ca="1">TblProd[[#This Row],[Platinum]]</f>
        <v>735831</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44875.708333333059</v>
      </c>
      <c r="AV117" s="97">
        <f ca="1">TblMili[[#This Row],[Draftees]]</f>
        <v>100</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1200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4]])*2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3</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300</v>
      </c>
      <c r="C118" s="160">
        <f ca="1">TblPop[[#This Row],[Military%]]</f>
        <v>0.12831479897348161</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550</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550</v>
      </c>
      <c r="X118" s="262">
        <f ca="1">TblConstr[[#This Row],[Land]]</f>
        <v>250</v>
      </c>
      <c r="Y118" s="265"/>
      <c r="Z118" s="270">
        <f ca="1">IF(TblMili[[#This Row],[Set]]&lt;&gt;"",TblMili[[#This Row],[Set]],OFFSET(TblMili[[#This Row],[Draftrate]],-1,0))</f>
        <v>0.35</v>
      </c>
      <c r="AA118" s="97">
        <f ca="1">start_draftees - SUM(TblMili[[#This Row],[Train Unit 1]:[Train Spies]],TblMili[[#This Row],[Train Wiz]]) - TblMili[[#This Row],[Release Draft]] + SUM(TblMili[[#This Row],[Release Unit 1]:[Release AM]]) - TblExplore[[#This Row],[Draftees (2)]]+MIN(13,days_late)*days_late_draftees</f>
        <v>100</v>
      </c>
      <c r="AB118" s="157"/>
      <c r="AC118" s="183">
        <f ca="1">(TblConstr[[#This Row],[Tot Smi]]+TblConstr[[#This Row],[Dest Smi]])/(TblConstr[[#This Row],[Land]]-TblExplore[[#This Row],[Land Bonus]]*20)</f>
        <v>0</v>
      </c>
      <c r="AD118" s="140"/>
      <c r="AE118" s="261">
        <f>TblMili[[#This Row],[Hour]]</f>
        <v>115</v>
      </c>
      <c r="AF118" s="141">
        <f ca="1">TblExplore[[#This Row],[Time]]</f>
        <v>44875.749999999724</v>
      </c>
      <c r="AG118" s="182"/>
      <c r="AH118" s="182"/>
      <c r="AI118" s="182"/>
      <c r="AJ118" s="182"/>
      <c r="AK118" s="182"/>
      <c r="AL118" s="182"/>
      <c r="AM118" s="182"/>
      <c r="AN118" s="182"/>
      <c r="AO118" s="145"/>
      <c r="AP118" s="97">
        <f ca="1">TblProd[[#This Row],[Platinum]]</f>
        <v>741501</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44875.749999999724</v>
      </c>
      <c r="AV118" s="97">
        <f ca="1">TblMili[[#This Row],[Draftees]]</f>
        <v>100</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1200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4]])*2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3</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300</v>
      </c>
      <c r="C119" s="160">
        <f ca="1">TblPop[[#This Row],[Military%]]</f>
        <v>0.12831479897348161</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550</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550</v>
      </c>
      <c r="X119" s="262">
        <f ca="1">TblConstr[[#This Row],[Land]]</f>
        <v>250</v>
      </c>
      <c r="Y119" s="265"/>
      <c r="Z119" s="270">
        <f ca="1">IF(TblMili[[#This Row],[Set]]&lt;&gt;"",TblMili[[#This Row],[Set]],OFFSET(TblMili[[#This Row],[Draftrate]],-1,0))</f>
        <v>0.35</v>
      </c>
      <c r="AA119" s="97">
        <f ca="1">start_draftees - SUM(TblMili[[#This Row],[Train Unit 1]:[Train Spies]],TblMili[[#This Row],[Train Wiz]]) - TblMili[[#This Row],[Release Draft]] + SUM(TblMili[[#This Row],[Release Unit 1]:[Release AM]]) - TblExplore[[#This Row],[Draftees (2)]]+MIN(13,days_late)*days_late_draftees</f>
        <v>100</v>
      </c>
      <c r="AB119" s="157"/>
      <c r="AC119" s="183">
        <f ca="1">(TblConstr[[#This Row],[Tot Smi]]+TblConstr[[#This Row],[Dest Smi]])/(TblConstr[[#This Row],[Land]]-TblExplore[[#This Row],[Land Bonus]]*20)</f>
        <v>0</v>
      </c>
      <c r="AD119" s="140"/>
      <c r="AE119" s="261">
        <f>TblMili[[#This Row],[Hour]]</f>
        <v>116</v>
      </c>
      <c r="AF119" s="141">
        <f ca="1">TblExplore[[#This Row],[Time]]</f>
        <v>44875.791666666388</v>
      </c>
      <c r="AG119" s="182"/>
      <c r="AH119" s="182"/>
      <c r="AI119" s="182"/>
      <c r="AJ119" s="182"/>
      <c r="AK119" s="182"/>
      <c r="AL119" s="182"/>
      <c r="AM119" s="182"/>
      <c r="AN119" s="182"/>
      <c r="AO119" s="145"/>
      <c r="AP119" s="97">
        <f ca="1">TblProd[[#This Row],[Platinum]]</f>
        <v>747171</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44875.791666666388</v>
      </c>
      <c r="AV119" s="97">
        <f ca="1">TblMili[[#This Row],[Draftees]]</f>
        <v>100</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1200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4]])*2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3</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300</v>
      </c>
      <c r="C120" s="160">
        <f ca="1">TblPop[[#This Row],[Military%]]</f>
        <v>0.12831479897348161</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550</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550</v>
      </c>
      <c r="X120" s="262">
        <f ca="1">TblConstr[[#This Row],[Land]]</f>
        <v>250</v>
      </c>
      <c r="Y120" s="265"/>
      <c r="Z120" s="270">
        <f ca="1">IF(TblMili[[#This Row],[Set]]&lt;&gt;"",TblMili[[#This Row],[Set]],OFFSET(TblMili[[#This Row],[Draftrate]],-1,0))</f>
        <v>0.35</v>
      </c>
      <c r="AA120" s="97">
        <f ca="1">start_draftees - SUM(TblMili[[#This Row],[Train Unit 1]:[Train Spies]],TblMili[[#This Row],[Train Wiz]]) - TblMili[[#This Row],[Release Draft]] + SUM(TblMili[[#This Row],[Release Unit 1]:[Release AM]]) - TblExplore[[#This Row],[Draftees (2)]]+MIN(13,days_late)*days_late_draftees</f>
        <v>100</v>
      </c>
      <c r="AB120" s="157"/>
      <c r="AC120" s="183">
        <f ca="1">(TblConstr[[#This Row],[Tot Smi]]+TblConstr[[#This Row],[Dest Smi]])/(TblConstr[[#This Row],[Land]]-TblExplore[[#This Row],[Land Bonus]]*20)</f>
        <v>0</v>
      </c>
      <c r="AD120" s="140"/>
      <c r="AE120" s="261">
        <f>TblMili[[#This Row],[Hour]]</f>
        <v>117</v>
      </c>
      <c r="AF120" s="141">
        <f ca="1">TblExplore[[#This Row],[Time]]</f>
        <v>44875.833333333052</v>
      </c>
      <c r="AG120" s="182"/>
      <c r="AH120" s="182"/>
      <c r="AI120" s="182"/>
      <c r="AJ120" s="182"/>
      <c r="AK120" s="182"/>
      <c r="AL120" s="182"/>
      <c r="AM120" s="182"/>
      <c r="AN120" s="182"/>
      <c r="AO120" s="145"/>
      <c r="AP120" s="97">
        <f ca="1">TblProd[[#This Row],[Platinum]]</f>
        <v>752841</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44875.833333333052</v>
      </c>
      <c r="AV120" s="97">
        <f ca="1">TblMili[[#This Row],[Draftees]]</f>
        <v>100</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1200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4]])*2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3</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300</v>
      </c>
      <c r="C121" s="160">
        <f ca="1">TblPop[[#This Row],[Military%]]</f>
        <v>0.12831479897348161</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550</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550</v>
      </c>
      <c r="X121" s="262">
        <f ca="1">TblConstr[[#This Row],[Land]]</f>
        <v>250</v>
      </c>
      <c r="Y121" s="265"/>
      <c r="Z121" s="270">
        <f ca="1">IF(TblMili[[#This Row],[Set]]&lt;&gt;"",TblMili[[#This Row],[Set]],OFFSET(TblMili[[#This Row],[Draftrate]],-1,0))</f>
        <v>0.35</v>
      </c>
      <c r="AA121" s="97">
        <f ca="1">start_draftees - SUM(TblMili[[#This Row],[Train Unit 1]:[Train Spies]],TblMili[[#This Row],[Train Wiz]]) - TblMili[[#This Row],[Release Draft]] + SUM(TblMili[[#This Row],[Release Unit 1]:[Release AM]]) - TblExplore[[#This Row],[Draftees (2)]]+MIN(13,days_late)*days_late_draftees</f>
        <v>100</v>
      </c>
      <c r="AB121" s="157"/>
      <c r="AC121" s="183">
        <f ca="1">(TblConstr[[#This Row],[Tot Smi]]+TblConstr[[#This Row],[Dest Smi]])/(TblConstr[[#This Row],[Land]]-TblExplore[[#This Row],[Land Bonus]]*20)</f>
        <v>0</v>
      </c>
      <c r="AD121" s="140"/>
      <c r="AE121" s="261">
        <f>TblMili[[#This Row],[Hour]]</f>
        <v>118</v>
      </c>
      <c r="AF121" s="141">
        <f ca="1">TblExplore[[#This Row],[Time]]</f>
        <v>44875.874999999716</v>
      </c>
      <c r="AG121" s="182"/>
      <c r="AH121" s="182"/>
      <c r="AI121" s="182"/>
      <c r="AJ121" s="182"/>
      <c r="AK121" s="182"/>
      <c r="AL121" s="182"/>
      <c r="AM121" s="182"/>
      <c r="AN121" s="182"/>
      <c r="AO121" s="145"/>
      <c r="AP121" s="97">
        <f ca="1">TblProd[[#This Row],[Platinum]]</f>
        <v>758511</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44875.874999999716</v>
      </c>
      <c r="AV121" s="97">
        <f ca="1">TblMili[[#This Row],[Draftees]]</f>
        <v>100</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1200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4]])*2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3</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300</v>
      </c>
      <c r="C122" s="160">
        <f ca="1">TblPop[[#This Row],[Military%]]</f>
        <v>0.12831479897348161</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550</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550</v>
      </c>
      <c r="X122" s="262">
        <f ca="1">TblConstr[[#This Row],[Land]]</f>
        <v>250</v>
      </c>
      <c r="Y122" s="265"/>
      <c r="Z122" s="270">
        <f ca="1">IF(TblMili[[#This Row],[Set]]&lt;&gt;"",TblMili[[#This Row],[Set]],OFFSET(TblMili[[#This Row],[Draftrate]],-1,0))</f>
        <v>0.35</v>
      </c>
      <c r="AA122" s="97">
        <f ca="1">start_draftees - SUM(TblMili[[#This Row],[Train Unit 1]:[Train Spies]],TblMili[[#This Row],[Train Wiz]]) - TblMili[[#This Row],[Release Draft]] + SUM(TblMili[[#This Row],[Release Unit 1]:[Release AM]]) - TblExplore[[#This Row],[Draftees (2)]]+MIN(13,days_late)*days_late_draftees</f>
        <v>100</v>
      </c>
      <c r="AB122" s="157"/>
      <c r="AC122" s="183">
        <f ca="1">(TblConstr[[#This Row],[Tot Smi]]+TblConstr[[#This Row],[Dest Smi]])/(TblConstr[[#This Row],[Land]]-TblExplore[[#This Row],[Land Bonus]]*20)</f>
        <v>0</v>
      </c>
      <c r="AD122" s="140"/>
      <c r="AE122" s="261">
        <f>TblMili[[#This Row],[Hour]]</f>
        <v>119</v>
      </c>
      <c r="AF122" s="141">
        <f ca="1">TblExplore[[#This Row],[Time]]</f>
        <v>44875.91666666638</v>
      </c>
      <c r="AG122" s="182"/>
      <c r="AH122" s="182"/>
      <c r="AI122" s="182"/>
      <c r="AJ122" s="182"/>
      <c r="AK122" s="182"/>
      <c r="AL122" s="182"/>
      <c r="AM122" s="182"/>
      <c r="AN122" s="182"/>
      <c r="AO122" s="145"/>
      <c r="AP122" s="97">
        <f ca="1">TblProd[[#This Row],[Platinum]]</f>
        <v>764181</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44875.91666666638</v>
      </c>
      <c r="AV122" s="97">
        <f ca="1">TblMili[[#This Row],[Draftees]]</f>
        <v>100</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1200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4]])*2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3</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300</v>
      </c>
      <c r="C123" s="160">
        <f ca="1">TblPop[[#This Row],[Military%]]</f>
        <v>0.12831479897348161</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550</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550</v>
      </c>
      <c r="X123" s="262">
        <f ca="1">TblConstr[[#This Row],[Land]]</f>
        <v>250</v>
      </c>
      <c r="Y123" s="265"/>
      <c r="Z123" s="270">
        <f ca="1">IF(TblMili[[#This Row],[Set]]&lt;&gt;"",TblMili[[#This Row],[Set]],OFFSET(TblMili[[#This Row],[Draftrate]],-1,0))</f>
        <v>0.35</v>
      </c>
      <c r="AA123" s="97">
        <f ca="1">start_draftees - SUM(TblMili[[#This Row],[Train Unit 1]:[Train Spies]],TblMili[[#This Row],[Train Wiz]]) - TblMili[[#This Row],[Release Draft]] + SUM(TblMili[[#This Row],[Release Unit 1]:[Release AM]]) - TblExplore[[#This Row],[Draftees (2)]]+MIN(13,days_late)*days_late_draftees</f>
        <v>100</v>
      </c>
      <c r="AB123" s="157"/>
      <c r="AC123" s="183">
        <f ca="1">(TblConstr[[#This Row],[Tot Smi]]+TblConstr[[#This Row],[Dest Smi]])/(TblConstr[[#This Row],[Land]]-TblExplore[[#This Row],[Land Bonus]]*20)</f>
        <v>0</v>
      </c>
      <c r="AD123" s="140"/>
      <c r="AE123" s="261">
        <f>TblMili[[#This Row],[Hour]]</f>
        <v>120</v>
      </c>
      <c r="AF123" s="141">
        <f ca="1">TblExplore[[#This Row],[Time]]</f>
        <v>44875.958333333045</v>
      </c>
      <c r="AG123" s="182"/>
      <c r="AH123" s="182"/>
      <c r="AI123" s="182"/>
      <c r="AJ123" s="182"/>
      <c r="AK123" s="182"/>
      <c r="AL123" s="182"/>
      <c r="AM123" s="182"/>
      <c r="AN123" s="182"/>
      <c r="AO123" s="145"/>
      <c r="AP123" s="97">
        <f ca="1">TblProd[[#This Row],[Platinum]]</f>
        <v>769851</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44875.958333333045</v>
      </c>
      <c r="AV123" s="97">
        <f ca="1">TblMili[[#This Row],[Draftees]]</f>
        <v>100</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1200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4]])*2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3</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300</v>
      </c>
      <c r="C124" s="160">
        <f ca="1">TblPop[[#This Row],[Military%]]</f>
        <v>0.12831479897348161</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550</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550</v>
      </c>
      <c r="X124" s="262">
        <f ca="1">TblConstr[[#This Row],[Land]]</f>
        <v>250</v>
      </c>
      <c r="Y124" s="265"/>
      <c r="Z124" s="270">
        <f ca="1">IF(TblMili[[#This Row],[Set]]&lt;&gt;"",TblMili[[#This Row],[Set]],OFFSET(TblMili[[#This Row],[Draftrate]],-1,0))</f>
        <v>0.35</v>
      </c>
      <c r="AA124" s="97">
        <f ca="1">start_draftees - SUM(TblMili[[#This Row],[Train Unit 1]:[Train Spies]],TblMili[[#This Row],[Train Wiz]]) - TblMili[[#This Row],[Release Draft]] + SUM(TblMili[[#This Row],[Release Unit 1]:[Release AM]]) - TblExplore[[#This Row],[Draftees (2)]]+MIN(13,days_late)*days_late_draftees</f>
        <v>100</v>
      </c>
      <c r="AB124" s="157"/>
      <c r="AC124" s="183">
        <f ca="1">(TblConstr[[#This Row],[Tot Smi]]+TblConstr[[#This Row],[Dest Smi]])/(TblConstr[[#This Row],[Land]]-TblExplore[[#This Row],[Land Bonus]]*20)</f>
        <v>0</v>
      </c>
      <c r="AD124" s="271"/>
      <c r="AE124" s="272">
        <f>TblMili[[#This Row],[Hour]]</f>
        <v>121</v>
      </c>
      <c r="AF124" s="141">
        <f ca="1">TblExplore[[#This Row],[Time]]</f>
        <v>44875.999999999709</v>
      </c>
      <c r="AG124" s="182"/>
      <c r="AH124" s="182"/>
      <c r="AI124" s="182"/>
      <c r="AJ124" s="182"/>
      <c r="AK124" s="182"/>
      <c r="AL124" s="182"/>
      <c r="AM124" s="182"/>
      <c r="AN124" s="182"/>
      <c r="AO124" s="145"/>
      <c r="AP124" s="97">
        <f ca="1">TblProd[[#This Row],[Platinum]]</f>
        <v>775521</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44875.999999999709</v>
      </c>
      <c r="AV124" s="97">
        <f ca="1">TblMili[[#This Row],[Draftees]]</f>
        <v>100</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1200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4]])*2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3</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300</v>
      </c>
      <c r="C125" s="160">
        <f ca="1">TblPop[[#This Row],[Military%]]</f>
        <v>0.12831479897348161</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550</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550</v>
      </c>
      <c r="X125" s="262">
        <f ca="1">TblConstr[[#This Row],[Land]]</f>
        <v>250</v>
      </c>
      <c r="Y125" s="265"/>
      <c r="Z125" s="270">
        <f ca="1">IF(TblMili[[#This Row],[Set]]&lt;&gt;"",TblMili[[#This Row],[Set]],OFFSET(TblMili[[#This Row],[Draftrate]],-1,0))</f>
        <v>0.35</v>
      </c>
      <c r="AA125" s="97">
        <f ca="1">start_draftees - SUM(TblMili[[#This Row],[Train Unit 1]:[Train Spies]],TblMili[[#This Row],[Train Wiz]]) - TblMili[[#This Row],[Release Draft]] + SUM(TblMili[[#This Row],[Release Unit 1]:[Release AM]]) - TblExplore[[#This Row],[Draftees (2)]]+MIN(13,days_late)*days_late_draftees</f>
        <v>100</v>
      </c>
      <c r="AB125" s="157"/>
      <c r="AC125" s="183">
        <f ca="1">(TblConstr[[#This Row],[Tot Smi]]+TblConstr[[#This Row],[Dest Smi]])/(TblConstr[[#This Row],[Land]]-TblExplore[[#This Row],[Land Bonus]]*20)</f>
        <v>0</v>
      </c>
      <c r="AD125" s="140"/>
      <c r="AE125" s="261">
        <f>TblMili[[#This Row],[Hour]]</f>
        <v>122</v>
      </c>
      <c r="AF125" s="141">
        <f ca="1">TblExplore[[#This Row],[Time]]</f>
        <v>44876.041666666373</v>
      </c>
      <c r="AG125" s="161"/>
      <c r="AH125" s="182"/>
      <c r="AI125" s="161"/>
      <c r="AJ125" s="182"/>
      <c r="AK125" s="182"/>
      <c r="AL125" s="182"/>
      <c r="AM125" s="182"/>
      <c r="AN125" s="182"/>
      <c r="AO125" s="145"/>
      <c r="AP125" s="97">
        <f ca="1">TblProd[[#This Row],[Platinum]]</f>
        <v>781191</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44876.041666666373</v>
      </c>
      <c r="AV125" s="97">
        <f ca="1">TblMili[[#This Row],[Draftees]]</f>
        <v>100</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1200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4]])*2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3</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300</v>
      </c>
      <c r="C126" s="160">
        <f ca="1">TblPop[[#This Row],[Military%]]</f>
        <v>0.12831479897348161</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550</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550</v>
      </c>
      <c r="X126" s="262">
        <f ca="1">TblConstr[[#This Row],[Land]]</f>
        <v>250</v>
      </c>
      <c r="Y126" s="265"/>
      <c r="Z126" s="270">
        <f ca="1">IF(TblMili[[#This Row],[Set]]&lt;&gt;"",TblMili[[#This Row],[Set]],OFFSET(TblMili[[#This Row],[Draftrate]],-1,0))</f>
        <v>0.35</v>
      </c>
      <c r="AA126" s="97">
        <f ca="1">start_draftees - SUM(TblMili[[#This Row],[Train Unit 1]:[Train Spies]],TblMili[[#This Row],[Train Wiz]]) - TblMili[[#This Row],[Release Draft]] + SUM(TblMili[[#This Row],[Release Unit 1]:[Release AM]]) - TblExplore[[#This Row],[Draftees (2)]]+MIN(13,days_late)*days_late_draftees</f>
        <v>100</v>
      </c>
      <c r="AB126" s="157"/>
      <c r="AC126" s="183">
        <f ca="1">(TblConstr[[#This Row],[Tot Smi]]+TblConstr[[#This Row],[Dest Smi]])/(TblConstr[[#This Row],[Land]]-TblExplore[[#This Row],[Land Bonus]]*20)</f>
        <v>0</v>
      </c>
      <c r="AD126" s="140"/>
      <c r="AE126" s="261">
        <f>TblMili[[#This Row],[Hour]]</f>
        <v>123</v>
      </c>
      <c r="AF126" s="141">
        <f ca="1">TblExplore[[#This Row],[Time]]</f>
        <v>44876.083333333037</v>
      </c>
      <c r="AG126" s="182"/>
      <c r="AH126" s="182"/>
      <c r="AI126" s="182"/>
      <c r="AJ126" s="182"/>
      <c r="AK126" s="182"/>
      <c r="AL126" s="182"/>
      <c r="AM126" s="182"/>
      <c r="AN126" s="182"/>
      <c r="AO126" s="145"/>
      <c r="AP126" s="97">
        <f ca="1">TblProd[[#This Row],[Platinum]]</f>
        <v>786861</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44876.083333333037</v>
      </c>
      <c r="AV126" s="97">
        <f ca="1">TblMili[[#This Row],[Draftees]]</f>
        <v>100</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1200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4]])*2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3</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300</v>
      </c>
      <c r="C127" s="160">
        <f ca="1">TblPop[[#This Row],[Military%]]</f>
        <v>0.12831479897348161</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550</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550</v>
      </c>
      <c r="X127" s="262">
        <f ca="1">TblConstr[[#This Row],[Land]]</f>
        <v>250</v>
      </c>
      <c r="Y127" s="265"/>
      <c r="Z127" s="270">
        <f ca="1">IF(TblMili[[#This Row],[Set]]&lt;&gt;"",TblMili[[#This Row],[Set]],OFFSET(TblMili[[#This Row],[Draftrate]],-1,0))</f>
        <v>0.35</v>
      </c>
      <c r="AA127" s="97">
        <f ca="1">start_draftees - SUM(TblMili[[#This Row],[Train Unit 1]:[Train Spies]],TblMili[[#This Row],[Train Wiz]]) - TblMili[[#This Row],[Release Draft]] + SUM(TblMili[[#This Row],[Release Unit 1]:[Release AM]]) - TblExplore[[#This Row],[Draftees (2)]]+MIN(13,days_late)*days_late_draftees</f>
        <v>100</v>
      </c>
      <c r="AB127" s="157"/>
      <c r="AC127" s="183">
        <f ca="1">(TblConstr[[#This Row],[Tot Smi]]+TblConstr[[#This Row],[Dest Smi]])/(TblConstr[[#This Row],[Land]]-TblExplore[[#This Row],[Land Bonus]]*20)</f>
        <v>0</v>
      </c>
      <c r="AD127" s="140"/>
      <c r="AE127" s="261">
        <f>TblMili[[#This Row],[Hour]]</f>
        <v>124</v>
      </c>
      <c r="AF127" s="141">
        <f ca="1">TblExplore[[#This Row],[Time]]</f>
        <v>44876.124999999702</v>
      </c>
      <c r="AG127" s="182"/>
      <c r="AH127" s="182"/>
      <c r="AI127" s="182"/>
      <c r="AJ127" s="182"/>
      <c r="AK127" s="182"/>
      <c r="AL127" s="182"/>
      <c r="AM127" s="182"/>
      <c r="AN127" s="182"/>
      <c r="AO127" s="145"/>
      <c r="AP127" s="97">
        <f ca="1">TblProd[[#This Row],[Platinum]]</f>
        <v>792531</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44876.124999999702</v>
      </c>
      <c r="AV127" s="97">
        <f ca="1">TblMili[[#This Row],[Draftees]]</f>
        <v>100</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1200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4]])*2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3</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300</v>
      </c>
      <c r="C128" s="160">
        <f ca="1">TblPop[[#This Row],[Military%]]</f>
        <v>0.12831479897348161</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550</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550</v>
      </c>
      <c r="X128" s="262">
        <f ca="1">TblConstr[[#This Row],[Land]]</f>
        <v>250</v>
      </c>
      <c r="Y128" s="265"/>
      <c r="Z128" s="270">
        <f ca="1">IF(TblMili[[#This Row],[Set]]&lt;&gt;"",TblMili[[#This Row],[Set]],OFFSET(TblMili[[#This Row],[Draftrate]],-1,0))</f>
        <v>0.35</v>
      </c>
      <c r="AA128" s="97">
        <f ca="1">start_draftees - SUM(TblMili[[#This Row],[Train Unit 1]:[Train Spies]],TblMili[[#This Row],[Train Wiz]]) - TblMili[[#This Row],[Release Draft]] + SUM(TblMili[[#This Row],[Release Unit 1]:[Release AM]]) - TblExplore[[#This Row],[Draftees (2)]]+MIN(13,days_late)*days_late_draftees</f>
        <v>100</v>
      </c>
      <c r="AB128" s="157"/>
      <c r="AC128" s="183">
        <f ca="1">(TblConstr[[#This Row],[Tot Smi]]+TblConstr[[#This Row],[Dest Smi]])/(TblConstr[[#This Row],[Land]]-TblExplore[[#This Row],[Land Bonus]]*20)</f>
        <v>0</v>
      </c>
      <c r="AD128" s="140"/>
      <c r="AE128" s="261">
        <f>TblMili[[#This Row],[Hour]]</f>
        <v>125</v>
      </c>
      <c r="AF128" s="141">
        <f ca="1">TblExplore[[#This Row],[Time]]</f>
        <v>44876.166666666366</v>
      </c>
      <c r="AG128" s="182"/>
      <c r="AH128" s="182"/>
      <c r="AI128" s="182"/>
      <c r="AJ128" s="182"/>
      <c r="AK128" s="182"/>
      <c r="AL128" s="182"/>
      <c r="AM128" s="182"/>
      <c r="AN128" s="182"/>
      <c r="AO128" s="145"/>
      <c r="AP128" s="97">
        <f ca="1">TblProd[[#This Row],[Platinum]]</f>
        <v>798201</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44876.166666666366</v>
      </c>
      <c r="AV128" s="97">
        <f ca="1">TblMili[[#This Row],[Draftees]]</f>
        <v>100</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1200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4]])*2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3</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300</v>
      </c>
      <c r="C129" s="160">
        <f ca="1">TblPop[[#This Row],[Military%]]</f>
        <v>0.12831479897348161</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550</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550</v>
      </c>
      <c r="X129" s="262">
        <f ca="1">TblConstr[[#This Row],[Land]]</f>
        <v>250</v>
      </c>
      <c r="Y129" s="265"/>
      <c r="Z129" s="270">
        <f ca="1">IF(TblMili[[#This Row],[Set]]&lt;&gt;"",TblMili[[#This Row],[Set]],OFFSET(TblMili[[#This Row],[Draftrate]],-1,0))</f>
        <v>0.35</v>
      </c>
      <c r="AA129" s="97">
        <f ca="1">start_draftees - SUM(TblMili[[#This Row],[Train Unit 1]:[Train Spies]],TblMili[[#This Row],[Train Wiz]]) - TblMili[[#This Row],[Release Draft]] + SUM(TblMili[[#This Row],[Release Unit 1]:[Release AM]]) - TblExplore[[#This Row],[Draftees (2)]]+MIN(13,days_late)*days_late_draftees</f>
        <v>100</v>
      </c>
      <c r="AB129" s="157"/>
      <c r="AC129" s="183">
        <f ca="1">(TblConstr[[#This Row],[Tot Smi]]+TblConstr[[#This Row],[Dest Smi]])/(TblConstr[[#This Row],[Land]]-TblExplore[[#This Row],[Land Bonus]]*20)</f>
        <v>0</v>
      </c>
      <c r="AD129" s="140"/>
      <c r="AE129" s="261">
        <f>TblMili[[#This Row],[Hour]]</f>
        <v>126</v>
      </c>
      <c r="AF129" s="141">
        <f ca="1">TblExplore[[#This Row],[Time]]</f>
        <v>44876.20833333303</v>
      </c>
      <c r="AG129" s="182"/>
      <c r="AH129" s="182"/>
      <c r="AI129" s="182"/>
      <c r="AJ129" s="182"/>
      <c r="AK129" s="182"/>
      <c r="AL129" s="182"/>
      <c r="AM129" s="182"/>
      <c r="AN129" s="182"/>
      <c r="AO129" s="145"/>
      <c r="AP129" s="97">
        <f ca="1">TblProd[[#This Row],[Platinum]]</f>
        <v>803871</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44876.20833333303</v>
      </c>
      <c r="AV129" s="97">
        <f ca="1">TblMili[[#This Row],[Draftees]]</f>
        <v>100</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1200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4]])*2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3</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300</v>
      </c>
      <c r="C130" s="160">
        <f ca="1">TblPop[[#This Row],[Military%]]</f>
        <v>0.12831479897348161</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550</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550</v>
      </c>
      <c r="X130" s="262">
        <f ca="1">TblConstr[[#This Row],[Land]]</f>
        <v>250</v>
      </c>
      <c r="Y130" s="265"/>
      <c r="Z130" s="270">
        <f ca="1">IF(TblMili[[#This Row],[Set]]&lt;&gt;"",TblMili[[#This Row],[Set]],OFFSET(TblMili[[#This Row],[Draftrate]],-1,0))</f>
        <v>0.35</v>
      </c>
      <c r="AA130" s="97">
        <f ca="1">start_draftees - SUM(TblMili[[#This Row],[Train Unit 1]:[Train Spies]],TblMili[[#This Row],[Train Wiz]]) - TblMili[[#This Row],[Release Draft]] + SUM(TblMili[[#This Row],[Release Unit 1]:[Release AM]]) - TblExplore[[#This Row],[Draftees (2)]]+MIN(13,days_late)*days_late_draftees</f>
        <v>100</v>
      </c>
      <c r="AB130" s="157"/>
      <c r="AC130" s="183">
        <f ca="1">(TblConstr[[#This Row],[Tot Smi]]+TblConstr[[#This Row],[Dest Smi]])/(TblConstr[[#This Row],[Land]]-TblExplore[[#This Row],[Land Bonus]]*20)</f>
        <v>0</v>
      </c>
      <c r="AD130" s="140"/>
      <c r="AE130" s="261">
        <f>TblMili[[#This Row],[Hour]]</f>
        <v>127</v>
      </c>
      <c r="AF130" s="141">
        <f ca="1">TblExplore[[#This Row],[Time]]</f>
        <v>44876.249999999694</v>
      </c>
      <c r="AG130" s="182"/>
      <c r="AH130" s="182"/>
      <c r="AI130" s="182"/>
      <c r="AJ130" s="182"/>
      <c r="AK130" s="182"/>
      <c r="AL130" s="182"/>
      <c r="AM130" s="182"/>
      <c r="AN130" s="182"/>
      <c r="AO130" s="145"/>
      <c r="AP130" s="97">
        <f ca="1">TblProd[[#This Row],[Platinum]]</f>
        <v>809541</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44876.249999999694</v>
      </c>
      <c r="AV130" s="97">
        <f ca="1">TblMili[[#This Row],[Draftees]]</f>
        <v>100</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1200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4]])*2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3</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300</v>
      </c>
      <c r="C131" s="160">
        <f ca="1">TblPop[[#This Row],[Military%]]</f>
        <v>0.12831479897348161</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550</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550</v>
      </c>
      <c r="X131" s="262">
        <f ca="1">TblConstr[[#This Row],[Land]]</f>
        <v>250</v>
      </c>
      <c r="Y131" s="265"/>
      <c r="Z131" s="270">
        <f ca="1">IF(TblMili[[#This Row],[Set]]&lt;&gt;"",TblMili[[#This Row],[Set]],OFFSET(TblMili[[#This Row],[Draftrate]],-1,0))</f>
        <v>0.35</v>
      </c>
      <c r="AA131" s="97">
        <f ca="1">start_draftees - SUM(TblMili[[#This Row],[Train Unit 1]:[Train Spies]],TblMili[[#This Row],[Train Wiz]]) - TblMili[[#This Row],[Release Draft]] + SUM(TblMili[[#This Row],[Release Unit 1]:[Release AM]]) - TblExplore[[#This Row],[Draftees (2)]]+MIN(13,days_late)*days_late_draftees</f>
        <v>100</v>
      </c>
      <c r="AB131" s="157"/>
      <c r="AC131" s="183">
        <f ca="1">(TblConstr[[#This Row],[Tot Smi]]+TblConstr[[#This Row],[Dest Smi]])/(TblConstr[[#This Row],[Land]]-TblExplore[[#This Row],[Land Bonus]]*20)</f>
        <v>0</v>
      </c>
      <c r="AD131" s="140"/>
      <c r="AE131" s="261">
        <f>TblMili[[#This Row],[Hour]]</f>
        <v>128</v>
      </c>
      <c r="AF131" s="141">
        <f ca="1">TblExplore[[#This Row],[Time]]</f>
        <v>44876.291666666359</v>
      </c>
      <c r="AG131" s="182"/>
      <c r="AH131" s="182"/>
      <c r="AI131" s="182"/>
      <c r="AJ131" s="182"/>
      <c r="AK131" s="182"/>
      <c r="AL131" s="182"/>
      <c r="AM131" s="182"/>
      <c r="AN131" s="182"/>
      <c r="AO131" s="145"/>
      <c r="AP131" s="97">
        <f ca="1">TblProd[[#This Row],[Platinum]]</f>
        <v>815211</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44876.291666666359</v>
      </c>
      <c r="AV131" s="97">
        <f ca="1">TblMili[[#This Row],[Draftees]]</f>
        <v>100</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1200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4]])*2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3</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300</v>
      </c>
      <c r="C132" s="160">
        <f ca="1">TblPop[[#This Row],[Military%]]</f>
        <v>0.12831479897348161</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550</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550</v>
      </c>
      <c r="X132" s="262">
        <f ca="1">TblConstr[[#This Row],[Land]]</f>
        <v>250</v>
      </c>
      <c r="Y132" s="265"/>
      <c r="Z132" s="270">
        <f ca="1">IF(TblMili[[#This Row],[Set]]&lt;&gt;"",TblMili[[#This Row],[Set]],OFFSET(TblMili[[#This Row],[Draftrate]],-1,0))</f>
        <v>0.35</v>
      </c>
      <c r="AA132" s="97">
        <f ca="1">start_draftees - SUM(TblMili[[#This Row],[Train Unit 1]:[Train Spies]],TblMili[[#This Row],[Train Wiz]]) - TblMili[[#This Row],[Release Draft]] + SUM(TblMili[[#This Row],[Release Unit 1]:[Release AM]]) - TblExplore[[#This Row],[Draftees (2)]]+MIN(13,days_late)*days_late_draftees</f>
        <v>100</v>
      </c>
      <c r="AB132" s="157"/>
      <c r="AC132" s="183">
        <f ca="1">(TblConstr[[#This Row],[Tot Smi]]+TblConstr[[#This Row],[Dest Smi]])/(TblConstr[[#This Row],[Land]]-TblExplore[[#This Row],[Land Bonus]]*20)</f>
        <v>0</v>
      </c>
      <c r="AD132" s="140"/>
      <c r="AE132" s="261">
        <f>TblMili[[#This Row],[Hour]]</f>
        <v>129</v>
      </c>
      <c r="AF132" s="141">
        <f ca="1">TblExplore[[#This Row],[Time]]</f>
        <v>44876.333333333023</v>
      </c>
      <c r="AG132" s="182"/>
      <c r="AH132" s="182"/>
      <c r="AI132" s="182"/>
      <c r="AJ132" s="182"/>
      <c r="AK132" s="182"/>
      <c r="AL132" s="182"/>
      <c r="AM132" s="182"/>
      <c r="AN132" s="182"/>
      <c r="AO132" s="145"/>
      <c r="AP132" s="97">
        <f ca="1">TblProd[[#This Row],[Platinum]]</f>
        <v>820881</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44876.333333333023</v>
      </c>
      <c r="AV132" s="97">
        <f ca="1">TblMili[[#This Row],[Draftees]]</f>
        <v>100</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1200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4]])*2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3</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300</v>
      </c>
      <c r="C133" s="160">
        <f ca="1">TblPop[[#This Row],[Military%]]</f>
        <v>0.12831479897348161</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550</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550</v>
      </c>
      <c r="X133" s="262">
        <f ca="1">TblConstr[[#This Row],[Land]]</f>
        <v>250</v>
      </c>
      <c r="Y133" s="265"/>
      <c r="Z133" s="270">
        <f ca="1">IF(TblMili[[#This Row],[Set]]&lt;&gt;"",TblMili[[#This Row],[Set]],OFFSET(TblMili[[#This Row],[Draftrate]],-1,0))</f>
        <v>0.35</v>
      </c>
      <c r="AA133" s="97">
        <f ca="1">start_draftees - SUM(TblMili[[#This Row],[Train Unit 1]:[Train Spies]],TblMili[[#This Row],[Train Wiz]]) - TblMili[[#This Row],[Release Draft]] + SUM(TblMili[[#This Row],[Release Unit 1]:[Release AM]]) - TblExplore[[#This Row],[Draftees (2)]]+MIN(13,days_late)*days_late_draftees</f>
        <v>100</v>
      </c>
      <c r="AB133" s="157"/>
      <c r="AC133" s="183">
        <f ca="1">(TblConstr[[#This Row],[Tot Smi]]+TblConstr[[#This Row],[Dest Smi]])/(TblConstr[[#This Row],[Land]]-TblExplore[[#This Row],[Land Bonus]]*20)</f>
        <v>0</v>
      </c>
      <c r="AD133" s="140"/>
      <c r="AE133" s="261">
        <f>TblMili[[#This Row],[Hour]]</f>
        <v>130</v>
      </c>
      <c r="AF133" s="141">
        <f ca="1">TblExplore[[#This Row],[Time]]</f>
        <v>44876.374999999687</v>
      </c>
      <c r="AG133" s="182"/>
      <c r="AH133" s="182"/>
      <c r="AI133" s="182"/>
      <c r="AJ133" s="182"/>
      <c r="AK133" s="182"/>
      <c r="AL133" s="182"/>
      <c r="AM133" s="182"/>
      <c r="AN133" s="182"/>
      <c r="AO133" s="145"/>
      <c r="AP133" s="97">
        <f ca="1">TblProd[[#This Row],[Platinum]]</f>
        <v>826551</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44876.374999999687</v>
      </c>
      <c r="AV133" s="97">
        <f ca="1">TblMili[[#This Row],[Draftees]]</f>
        <v>100</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1200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4]])*2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3</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300</v>
      </c>
      <c r="C134" s="160">
        <f ca="1">TblPop[[#This Row],[Military%]]</f>
        <v>0.12831479897348161</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550</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550</v>
      </c>
      <c r="X134" s="262">
        <f ca="1">TblConstr[[#This Row],[Land]]</f>
        <v>250</v>
      </c>
      <c r="Y134" s="265"/>
      <c r="Z134" s="270">
        <f ca="1">IF(TblMili[[#This Row],[Set]]&lt;&gt;"",TblMili[[#This Row],[Set]],OFFSET(TblMili[[#This Row],[Draftrate]],-1,0))</f>
        <v>0.35</v>
      </c>
      <c r="AA134" s="97">
        <f ca="1">start_draftees - SUM(TblMili[[#This Row],[Train Unit 1]:[Train Spies]],TblMili[[#This Row],[Train Wiz]]) - TblMili[[#This Row],[Release Draft]] + SUM(TblMili[[#This Row],[Release Unit 1]:[Release AM]]) - TblExplore[[#This Row],[Draftees (2)]]+MIN(13,days_late)*days_late_draftees</f>
        <v>100</v>
      </c>
      <c r="AB134" s="157"/>
      <c r="AC134" s="183">
        <f ca="1">(TblConstr[[#This Row],[Tot Smi]]+TblConstr[[#This Row],[Dest Smi]])/(TblConstr[[#This Row],[Land]]-TblExplore[[#This Row],[Land Bonus]]*20)</f>
        <v>0</v>
      </c>
      <c r="AD134" s="140"/>
      <c r="AE134" s="261">
        <f>TblMili[[#This Row],[Hour]]</f>
        <v>131</v>
      </c>
      <c r="AF134" s="141">
        <f ca="1">TblExplore[[#This Row],[Time]]</f>
        <v>44876.416666666351</v>
      </c>
      <c r="AG134" s="182"/>
      <c r="AH134" s="182"/>
      <c r="AI134" s="182"/>
      <c r="AJ134" s="182"/>
      <c r="AK134" s="182"/>
      <c r="AL134" s="182"/>
      <c r="AM134" s="182"/>
      <c r="AN134" s="182"/>
      <c r="AO134" s="145"/>
      <c r="AP134" s="97">
        <f ca="1">TblProd[[#This Row],[Platinum]]</f>
        <v>832221</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44876.416666666351</v>
      </c>
      <c r="AV134" s="97">
        <f ca="1">TblMili[[#This Row],[Draftees]]</f>
        <v>100</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1200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4]])*2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3</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300</v>
      </c>
      <c r="C135" s="160">
        <f ca="1">TblPop[[#This Row],[Military%]]</f>
        <v>0.12831479897348161</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550</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550</v>
      </c>
      <c r="X135" s="262">
        <f ca="1">TblConstr[[#This Row],[Land]]</f>
        <v>250</v>
      </c>
      <c r="Y135" s="265"/>
      <c r="Z135" s="270">
        <f ca="1">IF(TblMili[[#This Row],[Set]]&lt;&gt;"",TblMili[[#This Row],[Set]],OFFSET(TblMili[[#This Row],[Draftrate]],-1,0))</f>
        <v>0.35</v>
      </c>
      <c r="AA135" s="97">
        <f ca="1">start_draftees - SUM(TblMili[[#This Row],[Train Unit 1]:[Train Spies]],TblMili[[#This Row],[Train Wiz]]) - TblMili[[#This Row],[Release Draft]] + SUM(TblMili[[#This Row],[Release Unit 1]:[Release AM]]) - TblExplore[[#This Row],[Draftees (2)]]+MIN(13,days_late)*days_late_draftees</f>
        <v>100</v>
      </c>
      <c r="AB135" s="157"/>
      <c r="AC135" s="183">
        <f ca="1">(TblConstr[[#This Row],[Tot Smi]]+TblConstr[[#This Row],[Dest Smi]])/(TblConstr[[#This Row],[Land]]-TblExplore[[#This Row],[Land Bonus]]*20)</f>
        <v>0</v>
      </c>
      <c r="AD135" s="140"/>
      <c r="AE135" s="261">
        <f>TblMili[[#This Row],[Hour]]</f>
        <v>132</v>
      </c>
      <c r="AF135" s="141">
        <f ca="1">TblExplore[[#This Row],[Time]]</f>
        <v>44876.458333333016</v>
      </c>
      <c r="AG135" s="182"/>
      <c r="AH135" s="182"/>
      <c r="AI135" s="182"/>
      <c r="AJ135" s="182"/>
      <c r="AK135" s="182"/>
      <c r="AL135" s="182"/>
      <c r="AM135" s="182"/>
      <c r="AN135" s="182"/>
      <c r="AO135" s="145"/>
      <c r="AP135" s="97">
        <f ca="1">TblProd[[#This Row],[Platinum]]</f>
        <v>837891</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44876.458333333016</v>
      </c>
      <c r="AV135" s="97">
        <f ca="1">TblMili[[#This Row],[Draftees]]</f>
        <v>100</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1200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4]])*2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3</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300</v>
      </c>
      <c r="C136" s="160">
        <f ca="1">TblPop[[#This Row],[Military%]]</f>
        <v>0.12831479897348161</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550</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550</v>
      </c>
      <c r="X136" s="262">
        <f ca="1">TblConstr[[#This Row],[Land]]</f>
        <v>250</v>
      </c>
      <c r="Y136" s="265"/>
      <c r="Z136" s="270">
        <f ca="1">IF(TblMili[[#This Row],[Set]]&lt;&gt;"",TblMili[[#This Row],[Set]],OFFSET(TblMili[[#This Row],[Draftrate]],-1,0))</f>
        <v>0.35</v>
      </c>
      <c r="AA136" s="97">
        <f ca="1">start_draftees - SUM(TblMili[[#This Row],[Train Unit 1]:[Train Spies]],TblMili[[#This Row],[Train Wiz]]) - TblMili[[#This Row],[Release Draft]] + SUM(TblMili[[#This Row],[Release Unit 1]:[Release AM]]) - TblExplore[[#This Row],[Draftees (2)]]+MIN(13,days_late)*days_late_draftees</f>
        <v>100</v>
      </c>
      <c r="AB136" s="157"/>
      <c r="AC136" s="183">
        <f ca="1">(TblConstr[[#This Row],[Tot Smi]]+TblConstr[[#This Row],[Dest Smi]])/(TblConstr[[#This Row],[Land]]-TblExplore[[#This Row],[Land Bonus]]*20)</f>
        <v>0</v>
      </c>
      <c r="AD136" s="261"/>
      <c r="AE136" s="261">
        <f>TblMili[[#This Row],[Hour]]</f>
        <v>133</v>
      </c>
      <c r="AF136" s="141">
        <f ca="1">TblExplore[[#This Row],[Time]]</f>
        <v>44876.49999999968</v>
      </c>
      <c r="AG136" s="182"/>
      <c r="AH136" s="161"/>
      <c r="AI136" s="182"/>
      <c r="AJ136" s="161"/>
      <c r="AK136" s="161"/>
      <c r="AL136" s="161"/>
      <c r="AM136" s="161"/>
      <c r="AN136" s="182"/>
      <c r="AO136" s="145"/>
      <c r="AP136" s="97">
        <f ca="1">TblProd[[#This Row],[Platinum]]</f>
        <v>843561</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44876.49999999968</v>
      </c>
      <c r="AV136" s="97">
        <f ca="1">TblMili[[#This Row],[Draftees]]</f>
        <v>100</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1200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4]])*2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3</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0" t="s">
        <v>321</v>
      </c>
      <c r="C1269" s="490"/>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28" priority="37" stopIfTrue="1">
      <formula>ROW()-2=#REF!</formula>
    </cfRule>
  </conditionalFormatting>
  <conditionalFormatting sqref="A1269:DF1270">
    <cfRule type="expression" dxfId="27" priority="38" stopIfTrue="1">
      <formula>$B$1270&gt;144</formula>
    </cfRule>
  </conditionalFormatting>
  <conditionalFormatting sqref="A4:DF136">
    <cfRule type="expression" dxfId="26" priority="1" stopIfTrue="1">
      <formula>ROW()-3=$B$1270</formula>
    </cfRule>
    <cfRule type="expression" dxfId="25" priority="2" stopIfTrue="1">
      <formula>OR(ROW()-3=$B$1270,A4&lt;0)</formula>
    </cfRule>
    <cfRule type="expression" dxfId="24" priority="35">
      <formula>$A4=73</formula>
    </cfRule>
  </conditionalFormatting>
  <conditionalFormatting sqref="A3:DF136">
    <cfRule type="expression" dxfId="23" priority="39">
      <formula>ROUND(($A3-1)/12,0)=INT($A3-1)/12</formula>
    </cfRule>
  </conditionalFormatting>
  <conditionalFormatting sqref="A1:XFD3">
    <cfRule type="expression" dxfId="2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16384" width="9.140625" style="45"/>
  </cols>
  <sheetData>
    <row r="1" spans="1:41" s="28" customFormat="1" x14ac:dyDescent="0.2">
      <c r="O1" s="497" t="s">
        <v>1111</v>
      </c>
      <c r="U1" s="257"/>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57" t="s">
        <v>544</v>
      </c>
      <c r="M2" s="284" t="s">
        <v>94</v>
      </c>
      <c r="N2" s="284" t="s">
        <v>93</v>
      </c>
      <c r="O2" s="497"/>
      <c r="P2" s="257" t="s">
        <v>92</v>
      </c>
      <c r="Q2" s="257" t="s">
        <v>103</v>
      </c>
      <c r="R2" s="257" t="s">
        <v>335</v>
      </c>
      <c r="S2" s="257" t="s">
        <v>349</v>
      </c>
      <c r="T2" s="257" t="s">
        <v>507</v>
      </c>
      <c r="U2" s="257" t="s">
        <v>90</v>
      </c>
      <c r="V2" s="257" t="s">
        <v>509</v>
      </c>
    </row>
    <row r="3" spans="1:41" s="286" customFormat="1" ht="29.25" customHeight="1" thickBot="1" x14ac:dyDescent="0.25">
      <c r="A3" s="138" t="s">
        <v>0</v>
      </c>
      <c r="B3" s="138" t="s">
        <v>1</v>
      </c>
      <c r="C3" s="138" t="s">
        <v>12</v>
      </c>
      <c r="D3" s="138" t="s">
        <v>200</v>
      </c>
      <c r="E3" s="138" t="s">
        <v>316</v>
      </c>
      <c r="F3" s="138" t="s">
        <v>330</v>
      </c>
      <c r="G3" s="138" t="s">
        <v>202</v>
      </c>
      <c r="H3" s="138" t="s">
        <v>203</v>
      </c>
      <c r="I3" s="138" t="s">
        <v>204</v>
      </c>
      <c r="J3" s="138" t="s">
        <v>205</v>
      </c>
      <c r="K3" s="431" t="s">
        <v>206</v>
      </c>
      <c r="L3" s="138" t="s">
        <v>269</v>
      </c>
      <c r="M3" s="285" t="s">
        <v>536</v>
      </c>
      <c r="N3" s="285" t="s">
        <v>268</v>
      </c>
      <c r="O3" s="138" t="s">
        <v>1112</v>
      </c>
      <c r="P3" s="138" t="s">
        <v>304</v>
      </c>
      <c r="Q3" s="138" t="s">
        <v>341</v>
      </c>
      <c r="R3" s="138" t="s">
        <v>1114</v>
      </c>
      <c r="S3" s="138" t="s">
        <v>347</v>
      </c>
      <c r="T3" s="138" t="s">
        <v>432</v>
      </c>
      <c r="U3" s="138" t="s">
        <v>1104</v>
      </c>
      <c r="V3" s="138" t="s">
        <v>510</v>
      </c>
      <c r="W3" s="138" t="s">
        <v>791</v>
      </c>
      <c r="X3" s="138" t="s">
        <v>939</v>
      </c>
      <c r="Y3" s="138" t="s">
        <v>940</v>
      </c>
      <c r="Z3" s="138" t="s">
        <v>792</v>
      </c>
      <c r="AA3" s="138" t="s">
        <v>941</v>
      </c>
      <c r="AB3" s="138" t="s">
        <v>942</v>
      </c>
      <c r="AC3" s="138" t="s">
        <v>943</v>
      </c>
      <c r="AD3" s="138" t="s">
        <v>944</v>
      </c>
      <c r="AE3" s="138" t="s">
        <v>945</v>
      </c>
      <c r="AF3" s="138" t="s">
        <v>948</v>
      </c>
      <c r="AG3" s="138" t="s">
        <v>949</v>
      </c>
      <c r="AH3" s="138" t="s">
        <v>950</v>
      </c>
      <c r="AI3" s="138" t="s">
        <v>946</v>
      </c>
      <c r="AJ3" s="138" t="s">
        <v>951</v>
      </c>
      <c r="AK3" s="138" t="s">
        <v>952</v>
      </c>
      <c r="AL3" s="138" t="s">
        <v>1123</v>
      </c>
      <c r="AM3" s="138" t="s">
        <v>953</v>
      </c>
      <c r="AN3" s="138" t="s">
        <v>947</v>
      </c>
      <c r="AO3" s="439" t="s">
        <v>1105</v>
      </c>
    </row>
    <row r="4" spans="1:41" x14ac:dyDescent="0.2">
      <c r="A4" s="140">
        <f>TblRezone[[#This Row],[Hour]]</f>
        <v>1</v>
      </c>
      <c r="B4" s="157">
        <f ca="1">TblConstr[[#This Row],[Land]]</f>
        <v>250</v>
      </c>
      <c r="C4" s="97">
        <f ca="1">TblProd[[#This Row],[Mana]]</f>
        <v>0</v>
      </c>
      <c r="D4" s="424">
        <f>1-TblMagic[[#This Row],[Wiz str cost]]</f>
        <v>1</v>
      </c>
      <c r="E4" s="162">
        <f>Imps!L4</f>
        <v>44871</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44871.041666666664</v>
      </c>
      <c r="F5" s="159">
        <f ca="1">TblImps[[#This Row],[Population]]</f>
        <v>0.68956743002544529</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44871.083333333328</v>
      </c>
      <c r="F6" s="159">
        <f ca="1">TblImps[[#This Row],[Population]]</f>
        <v>0.7005937234944869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44871.124999999993</v>
      </c>
      <c r="F7" s="159">
        <f ca="1">TblImps[[#This Row],[Population]]</f>
        <v>0.71162001696352839</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44871.166666666657</v>
      </c>
      <c r="F8" s="159">
        <f ca="1">TblImps[[#This Row],[Population]]</f>
        <v>0.72307039864291778</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44871.208333333321</v>
      </c>
      <c r="F9" s="159">
        <f ca="1">TblImps[[#This Row],[Population]]</f>
        <v>0.73494486853265484</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44871.249999999985</v>
      </c>
      <c r="F10" s="159">
        <f ca="1">TblImps[[#This Row],[Population]]</f>
        <v>0.74724342663273957</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44871.29166666665</v>
      </c>
      <c r="F11" s="159">
        <f ca="1">TblImps[[#This Row],[Population]]</f>
        <v>0.75911789652247663</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44871.333333333314</v>
      </c>
      <c r="F12" s="159">
        <f ca="1">TblImps[[#This Row],[Population]]</f>
        <v>0.77141645462256148</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44871.374999999978</v>
      </c>
      <c r="F13" s="159">
        <f ca="1">TblImps[[#This Row],[Population]]</f>
        <v>0.7841391009329941</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44871.416666666642</v>
      </c>
      <c r="F14" s="159">
        <f ca="1">TblImps[[#This Row],[Population]]</f>
        <v>0.79728583545377441</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44871.458333333307</v>
      </c>
      <c r="F15" s="159">
        <f ca="1">TblImps[[#This Row],[Population]]</f>
        <v>0.81043256997455471</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44871.499999999971</v>
      </c>
      <c r="F16" s="159">
        <f ca="1">TblImps[[#This Row],[Population]]</f>
        <v>0.82400339270568279</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44871.541666666635</v>
      </c>
      <c r="F17" s="159">
        <f ca="1">TblImps[[#This Row],[Population]]</f>
        <v>0.83799830364715866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44871.583333333299</v>
      </c>
      <c r="F18" s="159">
        <f ca="1">TblImps[[#This Row],[Population]]</f>
        <v>0.85199321458863442</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44871.624999999964</v>
      </c>
      <c r="F19" s="159">
        <f ca="1">TblImps[[#This Row],[Population]]</f>
        <v>0.86641221374045807</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44871.666666666628</v>
      </c>
      <c r="F20" s="159">
        <f ca="1">TblImps[[#This Row],[Population]]</f>
        <v>0.8812553011026294</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44871.708333333292</v>
      </c>
      <c r="F21" s="159">
        <f ca="1">TblImps[[#This Row],[Population]]</f>
        <v>0.89609838846480072</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44871.749999999956</v>
      </c>
      <c r="F22" s="159">
        <f ca="1">TblImps[[#This Row],[Population]]</f>
        <v>0.91136556403731972</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44871.791666666621</v>
      </c>
      <c r="F23" s="159">
        <f ca="1">TblImps[[#This Row],[Population]]</f>
        <v>0.92705682782018661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44871.833333333285</v>
      </c>
      <c r="F24" s="159">
        <f ca="1">TblImps[[#This Row],[Population]]</f>
        <v>0.9427480916030534</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44871.874999999949</v>
      </c>
      <c r="F25" s="159">
        <f ca="1">TblImps[[#This Row],[Population]]</f>
        <v>0.95886344359626807</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44871.916666666613</v>
      </c>
      <c r="F26" s="159">
        <f ca="1">TblImps[[#This Row],[Population]]</f>
        <v>0.97497879558948264</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44871.958333333278</v>
      </c>
      <c r="F27" s="159">
        <f ca="1">TblImps[[#This Row],[Population]]</f>
        <v>0.99151823579304499</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44871.999999999942</v>
      </c>
      <c r="F28" s="159">
        <f ca="1">TblImps[[#This Row],[Population]]</f>
        <v>0.99151823579304499</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44872.041666666606</v>
      </c>
      <c r="F29" s="159">
        <f ca="1">TblImps[[#This Row],[Population]]</f>
        <v>0.99151823579304499</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44872.08333333327</v>
      </c>
      <c r="F30" s="159">
        <f ca="1">TblImps[[#This Row],[Population]]</f>
        <v>0.99151823579304499</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44872.124999999935</v>
      </c>
      <c r="F31" s="159">
        <f ca="1">TblImps[[#This Row],[Population]]</f>
        <v>0.99151823579304499</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44872.166666666599</v>
      </c>
      <c r="F32" s="159">
        <f ca="1">TblImps[[#This Row],[Population]]</f>
        <v>0.99151823579304499</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44872.208333333263</v>
      </c>
      <c r="F33" s="159">
        <f ca="1">TblImps[[#This Row],[Population]]</f>
        <v>0.99151823579304499</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44872.249999999927</v>
      </c>
      <c r="F34" s="159">
        <f ca="1">TblImps[[#This Row],[Population]]</f>
        <v>0.99151823579304499</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44872.291666666591</v>
      </c>
      <c r="F35" s="159">
        <f ca="1">TblImps[[#This Row],[Population]]</f>
        <v>0.99151823579304499</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44872.333333333256</v>
      </c>
      <c r="F36" s="159">
        <f ca="1">TblImps[[#This Row],[Population]]</f>
        <v>0.99151823579304499</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44872.37499999992</v>
      </c>
      <c r="F37" s="159">
        <f ca="1">TblImps[[#This Row],[Population]]</f>
        <v>0.99151823579304499</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44872.416666666584</v>
      </c>
      <c r="F38" s="159">
        <f ca="1">TblImps[[#This Row],[Population]]</f>
        <v>0.99151823579304499</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44872.458333333248</v>
      </c>
      <c r="F39" s="159">
        <f ca="1">TblImps[[#This Row],[Population]]</f>
        <v>0.99151823579304499</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44872.499999999913</v>
      </c>
      <c r="F40" s="159">
        <f ca="1">TblImps[[#This Row],[Population]]</f>
        <v>0.99151823579304499</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44872.541666666577</v>
      </c>
      <c r="F41" s="159">
        <f ca="1">TblImps[[#This Row],[Population]]</f>
        <v>0.99151823579304499</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44872.583333333241</v>
      </c>
      <c r="F42" s="159">
        <f ca="1">TblImps[[#This Row],[Population]]</f>
        <v>0.99151823579304499</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44872.624999999905</v>
      </c>
      <c r="F43" s="159">
        <f ca="1">TblImps[[#This Row],[Population]]</f>
        <v>0.99151823579304499</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44872.66666666657</v>
      </c>
      <c r="F44" s="159">
        <f ca="1">TblImps[[#This Row],[Population]]</f>
        <v>0.99151823579304499</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44872.708333333234</v>
      </c>
      <c r="F45" s="159">
        <f ca="1">TblImps[[#This Row],[Population]]</f>
        <v>0.99151823579304499</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44872.749999999898</v>
      </c>
      <c r="F46" s="159">
        <f ca="1">TblImps[[#This Row],[Population]]</f>
        <v>0.99151823579304499</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44872.791666666562</v>
      </c>
      <c r="F47" s="159">
        <f ca="1">TblImps[[#This Row],[Population]]</f>
        <v>0.99151823579304499</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44872.833333333227</v>
      </c>
      <c r="F48" s="159">
        <f ca="1">TblImps[[#This Row],[Population]]</f>
        <v>0.99151823579304499</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44872.874999999891</v>
      </c>
      <c r="F49" s="159">
        <f ca="1">TblImps[[#This Row],[Population]]</f>
        <v>0.99151823579304499</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44872.916666666555</v>
      </c>
      <c r="F50" s="159">
        <f ca="1">TblImps[[#This Row],[Population]]</f>
        <v>0.99151823579304499</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44872.958333333219</v>
      </c>
      <c r="F51" s="159">
        <f ca="1">TblImps[[#This Row],[Population]]</f>
        <v>0.99151823579304499</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44872.999999999884</v>
      </c>
      <c r="F52" s="159">
        <f ca="1">TblImps[[#This Row],[Population]]</f>
        <v>0.99151823579304499</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44873.041666666548</v>
      </c>
      <c r="F53" s="159">
        <f ca="1">TblImps[[#This Row],[Population]]</f>
        <v>0.99151823579304499</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44873.083333333212</v>
      </c>
      <c r="F54" s="159">
        <f ca="1">TblImps[[#This Row],[Population]]</f>
        <v>0.99151823579304499</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44873.124999999876</v>
      </c>
      <c r="F55" s="159">
        <f ca="1">TblImps[[#This Row],[Population]]</f>
        <v>0.99151823579304499</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44873.166666666541</v>
      </c>
      <c r="F56" s="159">
        <f ca="1">TblImps[[#This Row],[Population]]</f>
        <v>0.99151823579304499</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44873.208333333205</v>
      </c>
      <c r="F57" s="159">
        <f ca="1">TblImps[[#This Row],[Population]]</f>
        <v>0.99151823579304499</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44873.249999999869</v>
      </c>
      <c r="F58" s="159">
        <f ca="1">TblImps[[#This Row],[Population]]</f>
        <v>0.99151823579304499</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44873.291666666533</v>
      </c>
      <c r="F59" s="159">
        <f ca="1">TblImps[[#This Row],[Population]]</f>
        <v>0.99151823579304499</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44873.333333333198</v>
      </c>
      <c r="F60" s="159">
        <f ca="1">TblImps[[#This Row],[Population]]</f>
        <v>0.99151823579304499</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44873.374999999862</v>
      </c>
      <c r="F61" s="159">
        <f ca="1">TblImps[[#This Row],[Population]]</f>
        <v>0.99151823579304499</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44873.416666666526</v>
      </c>
      <c r="F62" s="159">
        <f ca="1">TblImps[[#This Row],[Population]]</f>
        <v>0.99151823579304499</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44873.45833333319</v>
      </c>
      <c r="F63" s="159">
        <f ca="1">TblImps[[#This Row],[Population]]</f>
        <v>0.99151823579304499</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44873.499999999854</v>
      </c>
      <c r="F64" s="159">
        <f ca="1">TblImps[[#This Row],[Population]]</f>
        <v>0.99151823579304499</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44873.541666666519</v>
      </c>
      <c r="F65" s="159">
        <f ca="1">TblImps[[#This Row],[Population]]</f>
        <v>0.99151823579304499</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44873.583333333183</v>
      </c>
      <c r="F66" s="159">
        <f ca="1">TblImps[[#This Row],[Population]]</f>
        <v>0.99151823579304499</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44873.624999999847</v>
      </c>
      <c r="F67" s="159">
        <f ca="1">TblImps[[#This Row],[Population]]</f>
        <v>0.99151823579304499</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44873.666666666511</v>
      </c>
      <c r="F68" s="159">
        <f ca="1">TblImps[[#This Row],[Population]]</f>
        <v>0.99151823579304499</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44873.708333333176</v>
      </c>
      <c r="F69" s="159">
        <f ca="1">TblImps[[#This Row],[Population]]</f>
        <v>0.99151823579304499</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44873.74999999984</v>
      </c>
      <c r="F70" s="159">
        <f ca="1">TblImps[[#This Row],[Population]]</f>
        <v>0.99151823579304499</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44873.791666666504</v>
      </c>
      <c r="F71" s="159">
        <f ca="1">TblImps[[#This Row],[Population]]</f>
        <v>0.99151823579304499</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44873.833333333168</v>
      </c>
      <c r="F72" s="159">
        <f ca="1">TblImps[[#This Row],[Population]]</f>
        <v>0.99151823579304499</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44873.874999999833</v>
      </c>
      <c r="F73" s="159">
        <f ca="1">TblImps[[#This Row],[Population]]</f>
        <v>0.99151823579304499</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44873.916666666497</v>
      </c>
      <c r="F74" s="159">
        <f ca="1">TblImps[[#This Row],[Population]]</f>
        <v>0.99151823579304499</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44873.958333333161</v>
      </c>
      <c r="F75" s="159">
        <f ca="1">TblImps[[#This Row],[Population]]</f>
        <v>0.99151823579304499</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44873.999999999825</v>
      </c>
      <c r="F76" s="287">
        <f ca="1">TblImps[[#This Row],[Population]]</f>
        <v>0.99151823579304499</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44874.04166666649</v>
      </c>
      <c r="F77" s="159">
        <f ca="1">TblImps[[#This Row],[Population]]</f>
        <v>0.99151823579304499</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44874.083333333154</v>
      </c>
      <c r="F78" s="159">
        <f ca="1">TblImps[[#This Row],[Population]]</f>
        <v>0.99151823579304499</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44874.124999999818</v>
      </c>
      <c r="F79" s="159">
        <f ca="1">TblImps[[#This Row],[Population]]</f>
        <v>0.99151823579304499</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44874.166666666482</v>
      </c>
      <c r="F80" s="159">
        <f ca="1">TblImps[[#This Row],[Population]]</f>
        <v>0.99151823579304499</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44874.208333333147</v>
      </c>
      <c r="F81" s="159">
        <f ca="1">TblImps[[#This Row],[Population]]</f>
        <v>0.99151823579304499</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44874.249999999811</v>
      </c>
      <c r="F82" s="159">
        <f ca="1">TblImps[[#This Row],[Population]]</f>
        <v>0.99151823579304499</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44874.291666666475</v>
      </c>
      <c r="F83" s="159">
        <f ca="1">TblImps[[#This Row],[Population]]</f>
        <v>0.99151823579304499</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44874.333333333139</v>
      </c>
      <c r="F84" s="159">
        <f ca="1">TblImps[[#This Row],[Population]]</f>
        <v>0.99151823579304499</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44874.374999999804</v>
      </c>
      <c r="F85" s="159">
        <f ca="1">TblImps[[#This Row],[Population]]</f>
        <v>0.99151823579304499</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44874.416666666468</v>
      </c>
      <c r="F86" s="159">
        <f ca="1">TblImps[[#This Row],[Population]]</f>
        <v>0.99151823579304499</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44874.458333333132</v>
      </c>
      <c r="F87" s="159">
        <f ca="1">TblImps[[#This Row],[Population]]</f>
        <v>0.99151823579304499</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44874.499999999796</v>
      </c>
      <c r="F88" s="159">
        <f ca="1">TblImps[[#This Row],[Population]]</f>
        <v>0.99151823579304499</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44874.541666666461</v>
      </c>
      <c r="F89" s="159">
        <f ca="1">TblImps[[#This Row],[Population]]</f>
        <v>0.99151823579304499</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44874.583333333125</v>
      </c>
      <c r="F90" s="159">
        <f ca="1">TblImps[[#This Row],[Population]]</f>
        <v>0.99151823579304499</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44874.624999999789</v>
      </c>
      <c r="F91" s="159">
        <f ca="1">TblImps[[#This Row],[Population]]</f>
        <v>0.99151823579304499</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44874.666666666453</v>
      </c>
      <c r="F92" s="159">
        <f ca="1">TblImps[[#This Row],[Population]]</f>
        <v>0.99151823579304499</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44874.708333333117</v>
      </c>
      <c r="F93" s="159">
        <f ca="1">TblImps[[#This Row],[Population]]</f>
        <v>0.99151823579304499</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44874.749999999782</v>
      </c>
      <c r="F94" s="159">
        <f ca="1">TblImps[[#This Row],[Population]]</f>
        <v>0.99151823579304499</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44874.791666666446</v>
      </c>
      <c r="F95" s="159">
        <f ca="1">TblImps[[#This Row],[Population]]</f>
        <v>0.99151823579304499</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44874.83333333311</v>
      </c>
      <c r="F96" s="159">
        <f ca="1">TblImps[[#This Row],[Population]]</f>
        <v>0.99151823579304499</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44874.874999999774</v>
      </c>
      <c r="F97" s="159">
        <f ca="1">TblImps[[#This Row],[Population]]</f>
        <v>0.99151823579304499</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44874.916666666439</v>
      </c>
      <c r="F98" s="159">
        <f ca="1">TblImps[[#This Row],[Population]]</f>
        <v>0.99151823579304499</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44874.958333333103</v>
      </c>
      <c r="F99" s="159">
        <f ca="1">TblImps[[#This Row],[Population]]</f>
        <v>0.99151823579304499</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44874.999999999767</v>
      </c>
      <c r="F100" s="159">
        <f ca="1">TblImps[[#This Row],[Population]]</f>
        <v>0.99151823579304499</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44875.041666666431</v>
      </c>
      <c r="F101" s="159">
        <f ca="1">TblImps[[#This Row],[Population]]</f>
        <v>0.99151823579304499</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44875.083333333096</v>
      </c>
      <c r="F102" s="159">
        <f ca="1">TblImps[[#This Row],[Population]]</f>
        <v>0.99151823579304499</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44875.12499999976</v>
      </c>
      <c r="F103" s="159">
        <f ca="1">TblImps[[#This Row],[Population]]</f>
        <v>0.99151823579304499</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44875.166666666424</v>
      </c>
      <c r="F104" s="159">
        <f ca="1">TblImps[[#This Row],[Population]]</f>
        <v>0.99151823579304499</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44875.208333333088</v>
      </c>
      <c r="F105" s="159">
        <f ca="1">TblImps[[#This Row],[Population]]</f>
        <v>0.99151823579304499</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44875.249999999753</v>
      </c>
      <c r="F106" s="159">
        <f ca="1">TblImps[[#This Row],[Population]]</f>
        <v>0.99151823579304499</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44875.291666666417</v>
      </c>
      <c r="F107" s="159">
        <f ca="1">TblImps[[#This Row],[Population]]</f>
        <v>0.99151823579304499</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44875.333333333081</v>
      </c>
      <c r="F108" s="159">
        <f ca="1">TblImps[[#This Row],[Population]]</f>
        <v>0.99151823579304499</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44875.374999999745</v>
      </c>
      <c r="F109" s="159">
        <f ca="1">TblImps[[#This Row],[Population]]</f>
        <v>0.99151823579304499</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44875.41666666641</v>
      </c>
      <c r="F110" s="159">
        <f ca="1">TblImps[[#This Row],[Population]]</f>
        <v>0.99151823579304499</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44875.458333333074</v>
      </c>
      <c r="F111" s="159">
        <f ca="1">TblImps[[#This Row],[Population]]</f>
        <v>0.99151823579304499</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44875.499999999738</v>
      </c>
      <c r="F112" s="159">
        <f ca="1">TblImps[[#This Row],[Population]]</f>
        <v>0.99151823579304499</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44875.541666666402</v>
      </c>
      <c r="F113" s="159">
        <f ca="1">TblImps[[#This Row],[Population]]</f>
        <v>0.99151823579304499</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44875.583333333067</v>
      </c>
      <c r="F114" s="159">
        <f ca="1">TblImps[[#This Row],[Population]]</f>
        <v>0.99151823579304499</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44875.624999999731</v>
      </c>
      <c r="F115" s="159">
        <f ca="1">TblImps[[#This Row],[Population]]</f>
        <v>0.99151823579304499</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44875.666666666395</v>
      </c>
      <c r="F116" s="159">
        <f ca="1">TblImps[[#This Row],[Population]]</f>
        <v>0.99151823579304499</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44875.708333333059</v>
      </c>
      <c r="F117" s="159">
        <f ca="1">TblImps[[#This Row],[Population]]</f>
        <v>0.99151823579304499</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44875.749999999724</v>
      </c>
      <c r="F118" s="159">
        <f ca="1">TblImps[[#This Row],[Population]]</f>
        <v>0.99151823579304499</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44875.791666666388</v>
      </c>
      <c r="F119" s="159">
        <f ca="1">TblImps[[#This Row],[Population]]</f>
        <v>0.99151823579304499</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44875.833333333052</v>
      </c>
      <c r="F120" s="159">
        <f ca="1">TblImps[[#This Row],[Population]]</f>
        <v>0.99151823579304499</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44875.874999999716</v>
      </c>
      <c r="F121" s="159">
        <f ca="1">TblImps[[#This Row],[Population]]</f>
        <v>0.99151823579304499</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44875.91666666638</v>
      </c>
      <c r="F122" s="159">
        <f ca="1">TblImps[[#This Row],[Population]]</f>
        <v>0.99151823579304499</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44875.958333333045</v>
      </c>
      <c r="F123" s="159">
        <f ca="1">TblImps[[#This Row],[Population]]</f>
        <v>0.99151823579304499</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44875.999999999709</v>
      </c>
      <c r="F124" s="159">
        <f ca="1">TblImps[[#This Row],[Population]]</f>
        <v>0.99151823579304499</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44876.041666666373</v>
      </c>
      <c r="F125" s="159">
        <f ca="1">TblImps[[#This Row],[Population]]</f>
        <v>0.99151823579304499</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44876.083333333037</v>
      </c>
      <c r="F126" s="159">
        <f ca="1">TblImps[[#This Row],[Population]]</f>
        <v>0.99151823579304499</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44876.124999999702</v>
      </c>
      <c r="F127" s="159">
        <f ca="1">TblImps[[#This Row],[Population]]</f>
        <v>0.99151823579304499</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44876.166666666366</v>
      </c>
      <c r="F128" s="159">
        <f ca="1">TblImps[[#This Row],[Population]]</f>
        <v>0.99151823579304499</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44876.20833333303</v>
      </c>
      <c r="F129" s="159">
        <f ca="1">TblImps[[#This Row],[Population]]</f>
        <v>0.99151823579304499</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44876.249999999694</v>
      </c>
      <c r="F130" s="159">
        <f ca="1">TblImps[[#This Row],[Population]]</f>
        <v>0.99151823579304499</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44876.291666666359</v>
      </c>
      <c r="F131" s="159">
        <f ca="1">TblImps[[#This Row],[Population]]</f>
        <v>0.99151823579304499</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44876.333333333023</v>
      </c>
      <c r="F132" s="159">
        <f ca="1">TblImps[[#This Row],[Population]]</f>
        <v>0.99151823579304499</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44876.374999999687</v>
      </c>
      <c r="F133" s="159">
        <f ca="1">TblImps[[#This Row],[Population]]</f>
        <v>0.99151823579304499</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44876.416666666351</v>
      </c>
      <c r="F134" s="159">
        <f ca="1">TblImps[[#This Row],[Population]]</f>
        <v>0.99151823579304499</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44876.458333333016</v>
      </c>
      <c r="F135" s="159">
        <f ca="1">TblImps[[#This Row],[Population]]</f>
        <v>0.99151823579304499</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44876.49999999968</v>
      </c>
      <c r="F136" s="159">
        <f ca="1">TblImps[[#This Row],[Population]]</f>
        <v>0.99151823579304499</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0" t="s">
        <v>321</v>
      </c>
      <c r="D1269" s="447"/>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1" priority="17" stopIfTrue="1">
      <formula>ROW()-2=#REF!</formula>
    </cfRule>
  </conditionalFormatting>
  <conditionalFormatting sqref="A1269:XFD1270">
    <cfRule type="expression" dxfId="20" priority="18" stopIfTrue="1">
      <formula>$C$1270&gt;144</formula>
    </cfRule>
  </conditionalFormatting>
  <conditionalFormatting sqref="A4:AO136">
    <cfRule type="expression" dxfId="19" priority="1" stopIfTrue="1">
      <formula>ROW()-3=$C$1270</formula>
    </cfRule>
    <cfRule type="expression" dxfId="18" priority="2" stopIfTrue="1">
      <formula>OR(ROW()-3=$C$1270,A4&lt;0)</formula>
    </cfRule>
    <cfRule type="expression" dxfId="17" priority="3">
      <formula>$A4=73</formula>
    </cfRule>
    <cfRule type="expression" dxfId="16" priority="11">
      <formula>ROUND(($A4-1)/12,0)=INT($A4-1)/12</formula>
    </cfRule>
  </conditionalFormatting>
  <conditionalFormatting sqref="G16:V136">
    <cfRule type="expression" dxfId="15" priority="12">
      <formula>COUNTA(G5:G16)&gt;0</formula>
    </cfRule>
  </conditionalFormatting>
  <conditionalFormatting sqref="A3:XFD3 A2:N2 A1:S1 U1:XFD1 P2:XFD2">
    <cfRule type="expression" dxfId="14"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1026</v>
      </c>
      <c r="F2" s="304">
        <f>IFERROR(SMALL(TblTech[Activate @ hour],1),0)</f>
        <v>0</v>
      </c>
      <c r="G2" s="45" t="s">
        <v>1092</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377</v>
      </c>
      <c r="D3" s="290" t="s">
        <v>33</v>
      </c>
      <c r="E3" s="290" t="s">
        <v>791</v>
      </c>
      <c r="F3" s="290" t="s">
        <v>1027</v>
      </c>
      <c r="G3" s="290" t="s">
        <v>954</v>
      </c>
      <c r="H3" s="290" t="s">
        <v>998</v>
      </c>
      <c r="I3" s="290" t="s">
        <v>999</v>
      </c>
      <c r="J3" s="290" t="s">
        <v>792</v>
      </c>
      <c r="K3" s="258" t="s">
        <v>793</v>
      </c>
      <c r="L3" s="290" t="s">
        <v>955</v>
      </c>
      <c r="M3" s="224" t="s">
        <v>545</v>
      </c>
      <c r="N3" s="224" t="s">
        <v>547</v>
      </c>
      <c r="O3" s="224" t="s">
        <v>549</v>
      </c>
      <c r="P3" s="224" t="s">
        <v>551</v>
      </c>
      <c r="Q3" s="224" t="s">
        <v>553</v>
      </c>
      <c r="R3" s="224" t="s">
        <v>555</v>
      </c>
      <c r="S3" s="224" t="s">
        <v>556</v>
      </c>
      <c r="T3" s="224" t="s">
        <v>557</v>
      </c>
      <c r="U3" s="224" t="s">
        <v>558</v>
      </c>
      <c r="V3" s="224" t="s">
        <v>560</v>
      </c>
      <c r="W3" s="224" t="s">
        <v>562</v>
      </c>
      <c r="X3" s="224" t="s">
        <v>563</v>
      </c>
      <c r="Y3" s="224" t="s">
        <v>564</v>
      </c>
      <c r="Z3" s="224" t="s">
        <v>565</v>
      </c>
      <c r="AA3" s="224" t="s">
        <v>567</v>
      </c>
      <c r="AB3" s="224" t="s">
        <v>569</v>
      </c>
      <c r="AC3" s="224" t="s">
        <v>570</v>
      </c>
      <c r="AD3" s="224" t="s">
        <v>572</v>
      </c>
      <c r="AE3" s="224" t="s">
        <v>574</v>
      </c>
      <c r="AF3" s="224" t="s">
        <v>575</v>
      </c>
      <c r="AG3" s="224" t="s">
        <v>576</v>
      </c>
      <c r="AH3" s="224" t="s">
        <v>578</v>
      </c>
      <c r="AI3" s="224" t="s">
        <v>580</v>
      </c>
      <c r="AJ3" s="224" t="s">
        <v>582</v>
      </c>
      <c r="AK3" s="224" t="s">
        <v>583</v>
      </c>
      <c r="AL3" s="224" t="s">
        <v>585</v>
      </c>
      <c r="AM3" s="224" t="s">
        <v>586</v>
      </c>
      <c r="AN3" s="224" t="s">
        <v>587</v>
      </c>
      <c r="AO3" s="224" t="s">
        <v>588</v>
      </c>
      <c r="AP3" s="224" t="s">
        <v>590</v>
      </c>
      <c r="AQ3" s="224" t="s">
        <v>592</v>
      </c>
      <c r="AR3" s="224" t="s">
        <v>593</v>
      </c>
      <c r="AS3" s="224" t="s">
        <v>594</v>
      </c>
      <c r="AT3" s="224" t="s">
        <v>595</v>
      </c>
      <c r="AU3" s="224" t="s">
        <v>596</v>
      </c>
      <c r="AV3" s="224" t="s">
        <v>597</v>
      </c>
      <c r="AW3" s="224" t="s">
        <v>599</v>
      </c>
      <c r="AX3" s="224" t="s">
        <v>601</v>
      </c>
      <c r="AY3" s="224" t="s">
        <v>602</v>
      </c>
      <c r="AZ3" s="224" t="s">
        <v>603</v>
      </c>
      <c r="BA3" s="224" t="s">
        <v>604</v>
      </c>
      <c r="BB3" s="224" t="s">
        <v>605</v>
      </c>
      <c r="BC3" s="224" t="s">
        <v>606</v>
      </c>
      <c r="BD3" s="224" t="s">
        <v>607</v>
      </c>
      <c r="BE3" s="224" t="s">
        <v>608</v>
      </c>
      <c r="BF3" s="224" t="s">
        <v>609</v>
      </c>
      <c r="BG3" s="224" t="s">
        <v>610</v>
      </c>
      <c r="BH3" s="224" t="s">
        <v>612</v>
      </c>
      <c r="BI3" s="224" t="s">
        <v>613</v>
      </c>
      <c r="BJ3" s="224" t="s">
        <v>615</v>
      </c>
      <c r="BK3" s="224" t="s">
        <v>616</v>
      </c>
      <c r="BL3" s="224" t="s">
        <v>617</v>
      </c>
      <c r="BM3" s="224" t="s">
        <v>619</v>
      </c>
      <c r="BN3" s="224" t="s">
        <v>621</v>
      </c>
      <c r="BO3" s="224" t="s">
        <v>622</v>
      </c>
      <c r="BP3" s="224" t="s">
        <v>623</v>
      </c>
      <c r="BQ3" s="224" t="s">
        <v>625</v>
      </c>
      <c r="BR3" s="224" t="s">
        <v>626</v>
      </c>
      <c r="BS3" s="224" t="s">
        <v>628</v>
      </c>
      <c r="BT3" s="224" t="s">
        <v>630</v>
      </c>
      <c r="BU3" s="224" t="s">
        <v>631</v>
      </c>
      <c r="BV3" s="224" t="s">
        <v>633</v>
      </c>
      <c r="BW3" s="224" t="s">
        <v>634</v>
      </c>
      <c r="BX3" s="224" t="s">
        <v>635</v>
      </c>
      <c r="BY3" s="224" t="s">
        <v>637</v>
      </c>
      <c r="BZ3" s="224" t="s">
        <v>638</v>
      </c>
      <c r="CA3" s="224" t="s">
        <v>694</v>
      </c>
    </row>
    <row r="4" spans="1:79" x14ac:dyDescent="0.2">
      <c r="A4" s="291">
        <f>TblRezone[[#This Row],[Hour]]</f>
        <v>1</v>
      </c>
      <c r="B4" s="292">
        <f ca="1">TblExplore[[#This Row],[Land-DB]]</f>
        <v>250</v>
      </c>
      <c r="C4" s="293">
        <f ca="1">TblProd[[#This Row],[Techpoints]]</f>
        <v>0</v>
      </c>
      <c r="D4" s="293">
        <f ca="1">TblProd[[#This Row],[Required]]</f>
        <v>3750</v>
      </c>
      <c r="E4" s="294"/>
      <c r="F4" s="295"/>
      <c r="G4" s="296" t="s">
        <v>545</v>
      </c>
      <c r="H4" s="297" t="s">
        <v>695</v>
      </c>
      <c r="I4" s="296" t="s">
        <v>546</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547</v>
      </c>
      <c r="H5" s="297" t="s">
        <v>696</v>
      </c>
      <c r="I5" s="296" t="s">
        <v>548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549</v>
      </c>
      <c r="H6" s="297" t="s">
        <v>697</v>
      </c>
      <c r="I6" s="296" t="s">
        <v>550</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551</v>
      </c>
      <c r="H7" s="297" t="s">
        <v>698</v>
      </c>
      <c r="I7" s="296" t="s">
        <v>552</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553</v>
      </c>
      <c r="H8" s="297" t="s">
        <v>699</v>
      </c>
      <c r="I8" s="296" t="s">
        <v>554</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555</v>
      </c>
      <c r="H9" s="297" t="s">
        <v>710</v>
      </c>
      <c r="I9" s="296" t="s">
        <v>571</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556</v>
      </c>
      <c r="H10" s="297" t="s">
        <v>739</v>
      </c>
      <c r="I10" s="296" t="s">
        <v>754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557</v>
      </c>
      <c r="H11" s="297" t="s">
        <v>702</v>
      </c>
      <c r="I11" s="296" t="s">
        <v>1073</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558</v>
      </c>
      <c r="H12" s="297" t="s">
        <v>721</v>
      </c>
      <c r="I12" s="296" t="s">
        <v>591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560</v>
      </c>
      <c r="H13" s="297" t="s">
        <v>703</v>
      </c>
      <c r="I13" s="296" t="s">
        <v>559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562</v>
      </c>
      <c r="H14" s="297" t="s">
        <v>1085</v>
      </c>
      <c r="I14" s="296" t="s">
        <v>755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563</v>
      </c>
      <c r="H16" s="297" t="s">
        <v>705</v>
      </c>
      <c r="I16" s="296" t="s">
        <v>766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564</v>
      </c>
      <c r="H17" s="297" t="s">
        <v>706</v>
      </c>
      <c r="I17" s="296" t="s">
        <v>767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565</v>
      </c>
      <c r="H18" s="297" t="s">
        <v>707</v>
      </c>
      <c r="I18" s="296" t="s">
        <v>566</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567</v>
      </c>
      <c r="H19" s="297" t="s">
        <v>708</v>
      </c>
      <c r="I19" s="296" t="s">
        <v>568</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569</v>
      </c>
      <c r="H20" s="297" t="s">
        <v>709</v>
      </c>
      <c r="I20" s="296" t="s">
        <v>1074</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570</v>
      </c>
      <c r="H21" s="297" t="s">
        <v>701</v>
      </c>
      <c r="I21" s="296" t="s">
        <v>756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572</v>
      </c>
      <c r="H22" s="297" t="s">
        <v>728</v>
      </c>
      <c r="I22" s="296" t="s">
        <v>1075</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574</v>
      </c>
      <c r="H23" s="297" t="s">
        <v>712</v>
      </c>
      <c r="I23" s="296" t="s">
        <v>757</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575</v>
      </c>
      <c r="H24" s="297" t="s">
        <v>713</v>
      </c>
      <c r="I24" s="296" t="s">
        <v>758</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576</v>
      </c>
      <c r="H25" s="297" t="s">
        <v>714</v>
      </c>
      <c r="I25" s="296" t="s">
        <v>577</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578</v>
      </c>
      <c r="H27" s="297" t="s">
        <v>715</v>
      </c>
      <c r="I27" s="296" t="s">
        <v>579</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580</v>
      </c>
      <c r="H28" s="297" t="s">
        <v>716</v>
      </c>
      <c r="I28" s="296" t="s">
        <v>581</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582</v>
      </c>
      <c r="H29" s="297" t="s">
        <v>717</v>
      </c>
      <c r="I29" s="296" t="s">
        <v>768</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583</v>
      </c>
      <c r="H30" s="297" t="s">
        <v>718</v>
      </c>
      <c r="I30" s="296" t="s">
        <v>584</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585</v>
      </c>
      <c r="H31" s="297" t="s">
        <v>700</v>
      </c>
      <c r="I31" s="296" t="s">
        <v>1076</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586</v>
      </c>
      <c r="H32" s="297" t="s">
        <v>711</v>
      </c>
      <c r="I32" s="296" t="s">
        <v>573</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587</v>
      </c>
      <c r="H33" s="297" t="s">
        <v>719</v>
      </c>
      <c r="I33" s="296" t="s">
        <v>759</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588</v>
      </c>
      <c r="H34" s="297" t="s">
        <v>720</v>
      </c>
      <c r="I34" s="296" t="s">
        <v>589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590</v>
      </c>
      <c r="H35" s="297" t="s">
        <v>704</v>
      </c>
      <c r="I35" s="296" t="s">
        <v>561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592</v>
      </c>
      <c r="H37" s="297" t="s">
        <v>722</v>
      </c>
      <c r="I37" s="296" t="s">
        <v>776</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593</v>
      </c>
      <c r="H38" s="297" t="s">
        <v>723</v>
      </c>
      <c r="I38" s="296" t="s">
        <v>641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594</v>
      </c>
      <c r="H39" s="297" t="s">
        <v>724</v>
      </c>
      <c r="I39" s="296" t="s">
        <v>1077</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595</v>
      </c>
      <c r="H40" s="297" t="s">
        <v>725</v>
      </c>
      <c r="I40" s="296" t="s">
        <v>1078</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596</v>
      </c>
      <c r="H41" s="297" t="s">
        <v>1084</v>
      </c>
      <c r="I41" s="296" t="s">
        <v>1079</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597</v>
      </c>
      <c r="H42" s="297" t="s">
        <v>727</v>
      </c>
      <c r="I42" s="296" t="s">
        <v>600</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599</v>
      </c>
      <c r="H43" s="297" t="s">
        <v>1086</v>
      </c>
      <c r="I43" s="296" t="s">
        <v>760</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601</v>
      </c>
      <c r="H44" s="297" t="s">
        <v>726</v>
      </c>
      <c r="I44" s="296" t="s">
        <v>598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602</v>
      </c>
      <c r="H46" s="297" t="s">
        <v>730</v>
      </c>
      <c r="I46" s="296" t="s">
        <v>1080</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603</v>
      </c>
      <c r="H47" s="297" t="s">
        <v>729</v>
      </c>
      <c r="I47" s="296" t="s">
        <v>761</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604</v>
      </c>
      <c r="H48" s="297" t="s">
        <v>731</v>
      </c>
      <c r="I48" s="296" t="s">
        <v>1076</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605</v>
      </c>
      <c r="H49" s="297" t="s">
        <v>732</v>
      </c>
      <c r="I49" s="296" t="s">
        <v>642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606</v>
      </c>
      <c r="H50" s="297" t="s">
        <v>733</v>
      </c>
      <c r="I50" s="296" t="s">
        <v>1076</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607</v>
      </c>
      <c r="H51" s="297" t="s">
        <v>400</v>
      </c>
      <c r="I51" s="296" t="s">
        <v>1081</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608</v>
      </c>
      <c r="H52" s="297" t="s">
        <v>735</v>
      </c>
      <c r="I52" s="296" t="s">
        <v>643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609</v>
      </c>
      <c r="H54" s="297" t="s">
        <v>736</v>
      </c>
      <c r="I54" s="296" t="s">
        <v>573</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610</v>
      </c>
      <c r="H55" s="297" t="s">
        <v>737</v>
      </c>
      <c r="I55" s="296" t="s">
        <v>611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612</v>
      </c>
      <c r="H56" s="297" t="s">
        <v>1087</v>
      </c>
      <c r="I56" s="296" t="s">
        <v>1082</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613</v>
      </c>
      <c r="H57" s="297" t="s">
        <v>738</v>
      </c>
      <c r="I57" s="296" t="s">
        <v>614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615</v>
      </c>
      <c r="H58" s="297" t="s">
        <v>734</v>
      </c>
      <c r="I58" s="296" t="s">
        <v>762</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616</v>
      </c>
      <c r="H59" s="297" t="s">
        <v>740</v>
      </c>
      <c r="I59" s="296" t="s">
        <v>763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617</v>
      </c>
      <c r="H61" s="297" t="s">
        <v>741</v>
      </c>
      <c r="I61" s="296" t="s">
        <v>618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619</v>
      </c>
      <c r="H62" s="297" t="s">
        <v>745</v>
      </c>
      <c r="I62" s="296" t="s">
        <v>1083</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621</v>
      </c>
      <c r="H63" s="297" t="s">
        <v>1088</v>
      </c>
      <c r="I63" s="296" t="s">
        <v>764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622</v>
      </c>
      <c r="H64" s="297" t="s">
        <v>743</v>
      </c>
      <c r="I64" s="296" t="s">
        <v>644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623</v>
      </c>
      <c r="H65" s="297" t="s">
        <v>744</v>
      </c>
      <c r="I65" s="296" t="s">
        <v>624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625</v>
      </c>
      <c r="H67" s="297" t="s">
        <v>1089</v>
      </c>
      <c r="I67" s="296" t="s">
        <v>765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626</v>
      </c>
      <c r="H68" s="297" t="s">
        <v>746</v>
      </c>
      <c r="I68" s="296" t="s">
        <v>627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628</v>
      </c>
      <c r="H69" s="297" t="s">
        <v>747</v>
      </c>
      <c r="I69" s="296" t="s">
        <v>629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630</v>
      </c>
      <c r="H70" s="297" t="s">
        <v>748</v>
      </c>
      <c r="I70" s="296" t="s">
        <v>777</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631</v>
      </c>
      <c r="H72" s="297" t="s">
        <v>749</v>
      </c>
      <c r="I72" s="296" t="s">
        <v>632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633</v>
      </c>
      <c r="H73" s="297" t="s">
        <v>750</v>
      </c>
      <c r="I73" s="296" t="s">
        <v>577</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634</v>
      </c>
      <c r="H74" s="297" t="s">
        <v>751</v>
      </c>
      <c r="I74" s="296" t="s">
        <v>778</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635</v>
      </c>
      <c r="H76" s="297" t="s">
        <v>742</v>
      </c>
      <c r="I76" s="296" t="s">
        <v>620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637</v>
      </c>
      <c r="H77" s="297" t="s">
        <v>752</v>
      </c>
      <c r="I77" s="296" t="s">
        <v>636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638</v>
      </c>
      <c r="H79" s="297" t="s">
        <v>753</v>
      </c>
      <c r="I79" s="296" t="s">
        <v>639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1000</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topLeftCell="AG1"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customWidth="1"/>
    <col min="48" max="48" width="3" style="45" customWidth="1"/>
    <col min="49" max="52" width="11.42578125" style="57" customWidth="1"/>
    <col min="53" max="53" width="3" style="45" customWidth="1"/>
    <col min="54" max="57" width="11.42578125" style="57" customWidth="1"/>
    <col min="58" max="58" width="3" style="45" customWidth="1"/>
    <col min="59" max="62" width="11.42578125" style="57" customWidth="1"/>
    <col min="63" max="63" width="3" style="45" customWidth="1"/>
    <col min="64" max="67" width="11.42578125" style="57" customWidth="1"/>
    <col min="68" max="68" width="3" style="45" customWidth="1"/>
    <col min="69" max="72" width="11.42578125" style="57" customWidth="1"/>
    <col min="73" max="73" width="3" style="45" customWidth="1"/>
    <col min="74" max="74" width="12.140625" style="45" customWidth="1"/>
    <col min="75" max="75" width="10.42578125" style="45" customWidth="1"/>
    <col min="76" max="76" width="3" style="45" customWidth="1"/>
    <col min="77" max="77" width="9.85546875" style="45" customWidth="1"/>
    <col min="78" max="78" width="13.5703125" style="45"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1028</v>
      </c>
      <c r="Y1" s="28" t="s">
        <v>37</v>
      </c>
      <c r="Z1" s="28"/>
      <c r="AA1" s="28"/>
      <c r="AB1" s="28"/>
      <c r="AC1" s="28"/>
      <c r="AD1" s="28"/>
      <c r="AF1" s="491" t="s">
        <v>215</v>
      </c>
      <c r="AG1" s="491"/>
      <c r="AH1" s="28"/>
      <c r="AI1" s="28"/>
      <c r="AJ1" s="28"/>
      <c r="AK1" s="28"/>
      <c r="AM1" s="491" t="s">
        <v>223</v>
      </c>
      <c r="AN1" s="491"/>
      <c r="AO1" s="28"/>
      <c r="AP1" s="28"/>
      <c r="AR1" s="491" t="s">
        <v>224</v>
      </c>
      <c r="AS1" s="491"/>
      <c r="AT1" s="492"/>
      <c r="AU1" s="28"/>
      <c r="AW1" s="491" t="s">
        <v>225</v>
      </c>
      <c r="AX1" s="491"/>
      <c r="AY1" s="491"/>
      <c r="AZ1" s="28"/>
      <c r="BB1" s="491" t="s">
        <v>226</v>
      </c>
      <c r="BC1" s="491"/>
      <c r="BD1" s="491"/>
      <c r="BE1" s="491"/>
      <c r="BG1" s="491" t="s">
        <v>227</v>
      </c>
      <c r="BH1" s="491"/>
      <c r="BI1" s="491"/>
      <c r="BJ1" s="28"/>
      <c r="BL1" s="491" t="s">
        <v>228</v>
      </c>
      <c r="BM1" s="492"/>
      <c r="BN1" s="492"/>
      <c r="BO1" s="28"/>
      <c r="BQ1" s="491" t="s">
        <v>229</v>
      </c>
      <c r="BR1" s="491"/>
      <c r="BS1" s="491"/>
      <c r="BT1" s="28"/>
      <c r="BV1" s="5" t="s">
        <v>313</v>
      </c>
    </row>
    <row r="2" spans="1:84" s="5" customFormat="1" x14ac:dyDescent="0.2">
      <c r="C2" s="28"/>
      <c r="D2" s="28"/>
      <c r="E2" s="28"/>
      <c r="F2" s="28"/>
      <c r="K2" s="28"/>
      <c r="Y2" s="289" t="s">
        <v>214</v>
      </c>
      <c r="Z2" s="289" t="s">
        <v>216</v>
      </c>
      <c r="AA2" s="289" t="s">
        <v>217</v>
      </c>
      <c r="AB2" s="289" t="s">
        <v>218</v>
      </c>
      <c r="AC2" s="289" t="s">
        <v>219</v>
      </c>
      <c r="AD2" s="289" t="s">
        <v>220</v>
      </c>
      <c r="AF2" s="289" t="s">
        <v>214</v>
      </c>
      <c r="AG2" s="289" t="s">
        <v>216</v>
      </c>
      <c r="AH2" s="289" t="s">
        <v>217</v>
      </c>
      <c r="AI2" s="289" t="s">
        <v>218</v>
      </c>
      <c r="AJ2" s="289" t="s">
        <v>219</v>
      </c>
      <c r="AK2" s="289" t="s">
        <v>220</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791</v>
      </c>
      <c r="C3" s="138" t="s">
        <v>2</v>
      </c>
      <c r="D3" s="138" t="s">
        <v>7</v>
      </c>
      <c r="E3" s="138" t="s">
        <v>3</v>
      </c>
      <c r="F3" s="138" t="s">
        <v>4</v>
      </c>
      <c r="G3" s="138" t="s">
        <v>792</v>
      </c>
      <c r="H3" s="138" t="s">
        <v>279</v>
      </c>
      <c r="I3" s="138" t="s">
        <v>230</v>
      </c>
      <c r="J3" s="138" t="s">
        <v>23</v>
      </c>
      <c r="K3" s="138" t="s">
        <v>0</v>
      </c>
      <c r="L3" s="138" t="s">
        <v>316</v>
      </c>
      <c r="M3" s="138" t="s">
        <v>312</v>
      </c>
      <c r="N3" s="138" t="s">
        <v>989</v>
      </c>
      <c r="O3" s="138" t="s">
        <v>319</v>
      </c>
      <c r="P3" s="138" t="s">
        <v>222</v>
      </c>
      <c r="Q3" s="138" t="s">
        <v>320</v>
      </c>
      <c r="R3" s="138" t="s">
        <v>990</v>
      </c>
      <c r="S3" s="138" t="s">
        <v>991</v>
      </c>
      <c r="T3" s="138" t="s">
        <v>992</v>
      </c>
      <c r="U3" s="138" t="s">
        <v>993</v>
      </c>
      <c r="V3" s="138" t="s">
        <v>994</v>
      </c>
      <c r="W3" s="138" t="s">
        <v>995</v>
      </c>
      <c r="X3" s="138" t="s">
        <v>793</v>
      </c>
      <c r="Y3" s="138" t="s">
        <v>214</v>
      </c>
      <c r="Z3" s="138" t="s">
        <v>216</v>
      </c>
      <c r="AA3" s="138" t="s">
        <v>217</v>
      </c>
      <c r="AB3" s="138" t="s">
        <v>218</v>
      </c>
      <c r="AC3" s="138" t="s">
        <v>219</v>
      </c>
      <c r="AD3" s="138" t="s">
        <v>220</v>
      </c>
      <c r="AE3" s="138" t="s">
        <v>808</v>
      </c>
      <c r="AF3" s="138" t="s">
        <v>1058</v>
      </c>
      <c r="AG3" s="138" t="s">
        <v>956</v>
      </c>
      <c r="AH3" s="138" t="s">
        <v>957</v>
      </c>
      <c r="AI3" s="138" t="s">
        <v>958</v>
      </c>
      <c r="AJ3" s="138" t="s">
        <v>959</v>
      </c>
      <c r="AK3" s="138" t="s">
        <v>960</v>
      </c>
      <c r="AL3" s="138" t="s">
        <v>809</v>
      </c>
      <c r="AM3" s="258" t="s">
        <v>961</v>
      </c>
      <c r="AN3" s="258" t="s">
        <v>962</v>
      </c>
      <c r="AO3" s="258" t="s">
        <v>963</v>
      </c>
      <c r="AP3" s="258" t="s">
        <v>964</v>
      </c>
      <c r="AQ3" s="258" t="s">
        <v>810</v>
      </c>
      <c r="AR3" s="258" t="s">
        <v>965</v>
      </c>
      <c r="AS3" s="258" t="s">
        <v>966</v>
      </c>
      <c r="AT3" s="258" t="s">
        <v>967</v>
      </c>
      <c r="AU3" s="258" t="s">
        <v>968</v>
      </c>
      <c r="AV3" s="258" t="s">
        <v>884</v>
      </c>
      <c r="AW3" s="258" t="s">
        <v>969</v>
      </c>
      <c r="AX3" s="258" t="s">
        <v>970</v>
      </c>
      <c r="AY3" s="258" t="s">
        <v>971</v>
      </c>
      <c r="AZ3" s="258" t="s">
        <v>972</v>
      </c>
      <c r="BA3" s="258" t="s">
        <v>885</v>
      </c>
      <c r="BB3" s="258" t="s">
        <v>973</v>
      </c>
      <c r="BC3" s="258" t="s">
        <v>974</v>
      </c>
      <c r="BD3" s="258" t="s">
        <v>975</v>
      </c>
      <c r="BE3" s="258" t="s">
        <v>976</v>
      </c>
      <c r="BF3" s="258" t="s">
        <v>1059</v>
      </c>
      <c r="BG3" s="258" t="s">
        <v>977</v>
      </c>
      <c r="BH3" s="258" t="s">
        <v>978</v>
      </c>
      <c r="BI3" s="258" t="s">
        <v>979</v>
      </c>
      <c r="BJ3" s="258" t="s">
        <v>980</v>
      </c>
      <c r="BK3" s="258" t="s">
        <v>1060</v>
      </c>
      <c r="BL3" s="258" t="s">
        <v>981</v>
      </c>
      <c r="BM3" s="258" t="s">
        <v>982</v>
      </c>
      <c r="BN3" s="258" t="s">
        <v>983</v>
      </c>
      <c r="BO3" s="258" t="s">
        <v>984</v>
      </c>
      <c r="BP3" s="258" t="s">
        <v>1061</v>
      </c>
      <c r="BQ3" s="258" t="s">
        <v>985</v>
      </c>
      <c r="BR3" s="258" t="s">
        <v>986</v>
      </c>
      <c r="BS3" s="258" t="s">
        <v>987</v>
      </c>
      <c r="BT3" s="258" t="s">
        <v>988</v>
      </c>
      <c r="BU3" s="138" t="s">
        <v>1062</v>
      </c>
      <c r="BV3" s="305" t="s">
        <v>314</v>
      </c>
      <c r="BW3" s="138" t="s">
        <v>996</v>
      </c>
      <c r="BX3" s="138" t="s">
        <v>1063</v>
      </c>
      <c r="BY3" s="138" t="s">
        <v>997</v>
      </c>
      <c r="BZ3" s="138" t="s">
        <v>315</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44871</v>
      </c>
      <c r="M4" s="62">
        <f>IF(ISERROR(TblImps[[#This Row],[algorithm]]),0,TblImps[[#This Row],[algorithm]]*1)</f>
        <v>0</v>
      </c>
      <c r="N4" s="97">
        <f ca="1">TblImps[[#This Row],[Land]]</f>
        <v>250</v>
      </c>
      <c r="O4" s="308" t="s">
        <v>4</v>
      </c>
      <c r="P4" s="309"/>
      <c r="Q4" s="308" t="s">
        <v>214</v>
      </c>
      <c r="R4" s="308" t="s">
        <v>7</v>
      </c>
      <c r="S4" s="309"/>
      <c r="T4" s="308" t="s">
        <v>214</v>
      </c>
      <c r="U4" s="308" t="s">
        <v>3</v>
      </c>
      <c r="V4" s="309"/>
      <c r="W4" s="308" t="s">
        <v>214</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44871</v>
      </c>
      <c r="BZ4" s="313">
        <f>Overview!B15</f>
        <v>44871</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100</v>
      </c>
      <c r="I5" s="183">
        <f ca="1">TblPop[[#This Row],[Employment]]</f>
        <v>1</v>
      </c>
      <c r="J5" s="183">
        <f ca="1">TblPop[[#This Row],[Total]]/TblPop[[#This Row],[Net max]]</f>
        <v>0.68956743002544529</v>
      </c>
      <c r="K5" s="306">
        <f>TblRezone[[#This Row],[Hour]]</f>
        <v>2</v>
      </c>
      <c r="L5" s="307">
        <f ca="1">TblImps[[#This Row],[Real time]]</f>
        <v>44871.041666666664</v>
      </c>
      <c r="M5" s="62">
        <f>IF(ISERROR(TblImps[[#This Row],[algorithm]]),0,TblImps[[#This Row],[algorithm]]*1)</f>
        <v>0</v>
      </c>
      <c r="N5" s="97">
        <f ca="1">TblImps[[#This Row],[Land]]</f>
        <v>250</v>
      </c>
      <c r="O5" s="308" t="s">
        <v>4</v>
      </c>
      <c r="P5" s="309"/>
      <c r="Q5" s="308" t="s">
        <v>216</v>
      </c>
      <c r="R5" s="308" t="s">
        <v>7</v>
      </c>
      <c r="S5" s="309"/>
      <c r="T5" s="308" t="s">
        <v>216</v>
      </c>
      <c r="U5" s="308" t="s">
        <v>3</v>
      </c>
      <c r="V5" s="309"/>
      <c r="W5" s="308" t="s">
        <v>216</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44871.041666666664</v>
      </c>
      <c r="BZ5" s="317">
        <f ca="1">OFFSET(TblImps[[#This Row],[Servertime]],-1,0)+1/24</f>
        <v>44871.041666666664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100</v>
      </c>
      <c r="I6" s="183">
        <f ca="1">TblPop[[#This Row],[Employment]]</f>
        <v>1</v>
      </c>
      <c r="J6" s="183">
        <f ca="1">TblPop[[#This Row],[Total]]/TblPop[[#This Row],[Net max]]</f>
        <v>0.7005937234944869</v>
      </c>
      <c r="K6" s="306">
        <f>TblRezone[[#This Row],[Hour]]</f>
        <v>3</v>
      </c>
      <c r="L6" s="307">
        <f ca="1">TblImps[[#This Row],[Real time]]</f>
        <v>44871.083333333328</v>
      </c>
      <c r="M6" s="62">
        <f>IF(ISERROR(TblImps[[#This Row],[algorithm]]),0,TblImps[[#This Row],[algorithm]]*1)</f>
        <v>0</v>
      </c>
      <c r="N6" s="97">
        <f ca="1">TblImps[[#This Row],[Land]]</f>
        <v>250</v>
      </c>
      <c r="O6" s="308" t="s">
        <v>4</v>
      </c>
      <c r="P6" s="309"/>
      <c r="Q6" s="308" t="s">
        <v>216</v>
      </c>
      <c r="R6" s="308" t="s">
        <v>7</v>
      </c>
      <c r="S6" s="309"/>
      <c r="T6" s="308" t="s">
        <v>216</v>
      </c>
      <c r="U6" s="308" t="s">
        <v>3</v>
      </c>
      <c r="V6" s="309"/>
      <c r="W6" s="308" t="s">
        <v>216</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44871.083333333328</v>
      </c>
      <c r="BZ6" s="317">
        <f ca="1">OFFSET(TblImps[[#This Row],[Servertime]],-1,0)+1/24</f>
        <v>44871.083333333328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100</v>
      </c>
      <c r="I7" s="183">
        <f ca="1">TblPop[[#This Row],[Employment]]</f>
        <v>1</v>
      </c>
      <c r="J7" s="183">
        <f ca="1">TblPop[[#This Row],[Total]]/TblPop[[#This Row],[Net max]]</f>
        <v>0.71162001696352839</v>
      </c>
      <c r="K7" s="306">
        <f>TblRezone[[#This Row],[Hour]]</f>
        <v>4</v>
      </c>
      <c r="L7" s="307">
        <f ca="1">TblImps[[#This Row],[Real time]]</f>
        <v>44871.124999999993</v>
      </c>
      <c r="M7" s="62">
        <f>IF(ISERROR(TblImps[[#This Row],[algorithm]]),0,TblImps[[#This Row],[algorithm]]*1)</f>
        <v>0</v>
      </c>
      <c r="N7" s="97">
        <f ca="1">TblImps[[#This Row],[Land]]</f>
        <v>250</v>
      </c>
      <c r="O7" s="308" t="s">
        <v>4</v>
      </c>
      <c r="P7" s="309"/>
      <c r="Q7" s="308" t="s">
        <v>216</v>
      </c>
      <c r="R7" s="308" t="s">
        <v>7</v>
      </c>
      <c r="S7" s="309"/>
      <c r="T7" s="308" t="s">
        <v>216</v>
      </c>
      <c r="U7" s="308" t="s">
        <v>3</v>
      </c>
      <c r="V7" s="309"/>
      <c r="W7" s="308" t="s">
        <v>216</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44871.124999999993</v>
      </c>
      <c r="BZ7" s="317">
        <f ca="1">OFFSET(TblImps[[#This Row],[Servertime]],-1,0)+1/24</f>
        <v>44871.124999999993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100</v>
      </c>
      <c r="I8" s="183">
        <f ca="1">TblPop[[#This Row],[Employment]]</f>
        <v>1</v>
      </c>
      <c r="J8" s="183">
        <f ca="1">TblPop[[#This Row],[Total]]/TblPop[[#This Row],[Net max]]</f>
        <v>0.72307039864291778</v>
      </c>
      <c r="K8" s="306">
        <f>TblRezone[[#This Row],[Hour]]</f>
        <v>5</v>
      </c>
      <c r="L8" s="307">
        <f ca="1">TblImps[[#This Row],[Real time]]</f>
        <v>44871.166666666657</v>
      </c>
      <c r="M8" s="62">
        <f>IF(ISERROR(TblImps[[#This Row],[algorithm]]),0,TblImps[[#This Row],[algorithm]]*1)</f>
        <v>0</v>
      </c>
      <c r="N8" s="97">
        <f ca="1">TblImps[[#This Row],[Land]]</f>
        <v>250</v>
      </c>
      <c r="O8" s="308" t="s">
        <v>4</v>
      </c>
      <c r="P8" s="309"/>
      <c r="Q8" s="308" t="s">
        <v>216</v>
      </c>
      <c r="R8" s="308" t="s">
        <v>7</v>
      </c>
      <c r="S8" s="309"/>
      <c r="T8" s="308" t="s">
        <v>216</v>
      </c>
      <c r="U8" s="308" t="s">
        <v>3</v>
      </c>
      <c r="V8" s="309"/>
      <c r="W8" s="308" t="s">
        <v>216</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44871.166666666657</v>
      </c>
      <c r="BZ8" s="317">
        <f ca="1">OFFSET(TblImps[[#This Row],[Servertime]],-1,0)+1/24</f>
        <v>44871.166666666657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100</v>
      </c>
      <c r="I9" s="183">
        <f ca="1">TblPop[[#This Row],[Employment]]</f>
        <v>1</v>
      </c>
      <c r="J9" s="183">
        <f ca="1">TblPop[[#This Row],[Total]]/TblPop[[#This Row],[Net max]]</f>
        <v>0.73494486853265484</v>
      </c>
      <c r="K9" s="306">
        <f>TblRezone[[#This Row],[Hour]]</f>
        <v>6</v>
      </c>
      <c r="L9" s="307">
        <f ca="1">TblImps[[#This Row],[Real time]]</f>
        <v>44871.208333333321</v>
      </c>
      <c r="M9" s="62">
        <f>IF(ISERROR(TblImps[[#This Row],[algorithm]]),0,TblImps[[#This Row],[algorithm]]*1)</f>
        <v>0</v>
      </c>
      <c r="N9" s="97">
        <f ca="1">TblImps[[#This Row],[Land]]</f>
        <v>250</v>
      </c>
      <c r="O9" s="308" t="s">
        <v>4</v>
      </c>
      <c r="P9" s="309"/>
      <c r="Q9" s="308" t="s">
        <v>216</v>
      </c>
      <c r="R9" s="308" t="s">
        <v>7</v>
      </c>
      <c r="S9" s="309"/>
      <c r="T9" s="308" t="s">
        <v>216</v>
      </c>
      <c r="U9" s="308" t="s">
        <v>3</v>
      </c>
      <c r="V9" s="309"/>
      <c r="W9" s="308" t="s">
        <v>216</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44871.208333333321</v>
      </c>
      <c r="BZ9" s="317">
        <f ca="1">OFFSET(TblImps[[#This Row],[Servertime]],-1,0)+1/24</f>
        <v>44871.208333333321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100</v>
      </c>
      <c r="I10" s="183">
        <f ca="1">TblPop[[#This Row],[Employment]]</f>
        <v>1</v>
      </c>
      <c r="J10" s="183">
        <f ca="1">TblPop[[#This Row],[Total]]/TblPop[[#This Row],[Net max]]</f>
        <v>0.74724342663273957</v>
      </c>
      <c r="K10" s="306">
        <f>TblRezone[[#This Row],[Hour]]</f>
        <v>7</v>
      </c>
      <c r="L10" s="307">
        <f ca="1">TblImps[[#This Row],[Real time]]</f>
        <v>44871.249999999985</v>
      </c>
      <c r="M10" s="62">
        <f>IF(ISERROR(TblImps[[#This Row],[algorithm]]),0,TblImps[[#This Row],[algorithm]]*1)</f>
        <v>0</v>
      </c>
      <c r="N10" s="97">
        <f ca="1">TblImps[[#This Row],[Land]]</f>
        <v>250</v>
      </c>
      <c r="O10" s="308" t="s">
        <v>4</v>
      </c>
      <c r="P10" s="309"/>
      <c r="Q10" s="308" t="s">
        <v>216</v>
      </c>
      <c r="R10" s="308" t="s">
        <v>7</v>
      </c>
      <c r="S10" s="309"/>
      <c r="T10" s="308" t="s">
        <v>216</v>
      </c>
      <c r="U10" s="308" t="s">
        <v>3</v>
      </c>
      <c r="V10" s="309"/>
      <c r="W10" s="308" t="s">
        <v>216</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44871.249999999985</v>
      </c>
      <c r="BZ10" s="317">
        <f ca="1">OFFSET(TblImps[[#This Row],[Servertime]],-1,0)+1/24</f>
        <v>44871.249999999985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100</v>
      </c>
      <c r="I11" s="183">
        <f ca="1">TblPop[[#This Row],[Employment]]</f>
        <v>1</v>
      </c>
      <c r="J11" s="183">
        <f ca="1">TblPop[[#This Row],[Total]]/TblPop[[#This Row],[Net max]]</f>
        <v>0.75911789652247663</v>
      </c>
      <c r="K11" s="306">
        <f>TblRezone[[#This Row],[Hour]]</f>
        <v>8</v>
      </c>
      <c r="L11" s="307">
        <f ca="1">TblImps[[#This Row],[Real time]]</f>
        <v>44871.29166666665</v>
      </c>
      <c r="M11" s="62">
        <f>IF(ISERROR(TblImps[[#This Row],[algorithm]]),0,TblImps[[#This Row],[algorithm]]*1)</f>
        <v>0</v>
      </c>
      <c r="N11" s="97">
        <f ca="1">TblImps[[#This Row],[Land]]</f>
        <v>250</v>
      </c>
      <c r="O11" s="308" t="s">
        <v>4</v>
      </c>
      <c r="P11" s="309"/>
      <c r="Q11" s="308" t="s">
        <v>216</v>
      </c>
      <c r="R11" s="308" t="s">
        <v>7</v>
      </c>
      <c r="S11" s="309"/>
      <c r="T11" s="308" t="s">
        <v>216</v>
      </c>
      <c r="U11" s="308" t="s">
        <v>3</v>
      </c>
      <c r="V11" s="309"/>
      <c r="W11" s="308" t="s">
        <v>216</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44871.29166666665</v>
      </c>
      <c r="BZ11" s="317">
        <f ca="1">OFFSET(TblImps[[#This Row],[Servertime]],-1,0)+1/24</f>
        <v>44871.29166666665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100</v>
      </c>
      <c r="I12" s="183">
        <f ca="1">TblPop[[#This Row],[Employment]]</f>
        <v>1</v>
      </c>
      <c r="J12" s="183">
        <f ca="1">TblPop[[#This Row],[Total]]/TblPop[[#This Row],[Net max]]</f>
        <v>0.77141645462256148</v>
      </c>
      <c r="K12" s="306">
        <f>TblRezone[[#This Row],[Hour]]</f>
        <v>9</v>
      </c>
      <c r="L12" s="307">
        <f ca="1">TblImps[[#This Row],[Real time]]</f>
        <v>44871.333333333314</v>
      </c>
      <c r="M12" s="62">
        <f>IF(ISERROR(TblImps[[#This Row],[algorithm]]),0,TblImps[[#This Row],[algorithm]]*1)</f>
        <v>0</v>
      </c>
      <c r="N12" s="97">
        <f ca="1">TblImps[[#This Row],[Land]]</f>
        <v>250</v>
      </c>
      <c r="O12" s="308" t="s">
        <v>4</v>
      </c>
      <c r="P12" s="309"/>
      <c r="Q12" s="308" t="s">
        <v>216</v>
      </c>
      <c r="R12" s="308" t="s">
        <v>7</v>
      </c>
      <c r="S12" s="309"/>
      <c r="T12" s="308" t="s">
        <v>216</v>
      </c>
      <c r="U12" s="308" t="s">
        <v>3</v>
      </c>
      <c r="V12" s="309"/>
      <c r="W12" s="308" t="s">
        <v>216</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44871.333333333314</v>
      </c>
      <c r="BZ12" s="317">
        <f ca="1">OFFSET(TblImps[[#This Row],[Servertime]],-1,0)+1/24</f>
        <v>44871.333333333314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100</v>
      </c>
      <c r="I13" s="183">
        <f ca="1">TblPop[[#This Row],[Employment]]</f>
        <v>1</v>
      </c>
      <c r="J13" s="183">
        <f ca="1">TblPop[[#This Row],[Total]]/TblPop[[#This Row],[Net max]]</f>
        <v>0.7841391009329941</v>
      </c>
      <c r="K13" s="306">
        <f>TblRezone[[#This Row],[Hour]]</f>
        <v>10</v>
      </c>
      <c r="L13" s="307">
        <f ca="1">TblImps[[#This Row],[Real time]]</f>
        <v>44871.374999999978</v>
      </c>
      <c r="M13" s="62">
        <f>IF(ISERROR(TblImps[[#This Row],[algorithm]]),0,TblImps[[#This Row],[algorithm]]*1)</f>
        <v>0</v>
      </c>
      <c r="N13" s="97">
        <f ca="1">TblImps[[#This Row],[Land]]</f>
        <v>250</v>
      </c>
      <c r="O13" s="308" t="s">
        <v>4</v>
      </c>
      <c r="P13" s="309"/>
      <c r="Q13" s="308" t="s">
        <v>216</v>
      </c>
      <c r="R13" s="308" t="s">
        <v>7</v>
      </c>
      <c r="S13" s="309"/>
      <c r="T13" s="308" t="s">
        <v>216</v>
      </c>
      <c r="U13" s="308" t="s">
        <v>3</v>
      </c>
      <c r="V13" s="309"/>
      <c r="W13" s="308" t="s">
        <v>216</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44871.374999999978</v>
      </c>
      <c r="BZ13" s="317">
        <f ca="1">OFFSET(TblImps[[#This Row],[Servertime]],-1,0)+1/24</f>
        <v>44871.374999999978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100</v>
      </c>
      <c r="I14" s="183">
        <f ca="1">TblPop[[#This Row],[Employment]]</f>
        <v>1</v>
      </c>
      <c r="J14" s="183">
        <f ca="1">TblPop[[#This Row],[Total]]/TblPop[[#This Row],[Net max]]</f>
        <v>0.79728583545377441</v>
      </c>
      <c r="K14" s="306">
        <f>TblRezone[[#This Row],[Hour]]</f>
        <v>11</v>
      </c>
      <c r="L14" s="307">
        <f ca="1">TblImps[[#This Row],[Real time]]</f>
        <v>44871.416666666642</v>
      </c>
      <c r="M14" s="62">
        <f>IF(ISERROR(TblImps[[#This Row],[algorithm]]),0,TblImps[[#This Row],[algorithm]]*1)</f>
        <v>0</v>
      </c>
      <c r="N14" s="97">
        <f ca="1">TblImps[[#This Row],[Land]]</f>
        <v>250</v>
      </c>
      <c r="O14" s="308" t="s">
        <v>4</v>
      </c>
      <c r="P14" s="309"/>
      <c r="Q14" s="308" t="s">
        <v>216</v>
      </c>
      <c r="R14" s="308" t="s">
        <v>7</v>
      </c>
      <c r="S14" s="309"/>
      <c r="T14" s="308" t="s">
        <v>216</v>
      </c>
      <c r="U14" s="308" t="s">
        <v>3</v>
      </c>
      <c r="V14" s="309"/>
      <c r="W14" s="308" t="s">
        <v>216</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44871.416666666642</v>
      </c>
      <c r="BZ14" s="317">
        <f ca="1">OFFSET(TblImps[[#This Row],[Servertime]],-1,0)+1/24</f>
        <v>44871.416666666642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100</v>
      </c>
      <c r="I15" s="183">
        <f ca="1">TblPop[[#This Row],[Employment]]</f>
        <v>0.99317194289261324</v>
      </c>
      <c r="J15" s="183">
        <f ca="1">TblPop[[#This Row],[Total]]/TblPop[[#This Row],[Net max]]</f>
        <v>0.81043256997455471</v>
      </c>
      <c r="K15" s="306">
        <f>TblRezone[[#This Row],[Hour]]</f>
        <v>12</v>
      </c>
      <c r="L15" s="307">
        <f ca="1">TblImps[[#This Row],[Real time]]</f>
        <v>44871.458333333307</v>
      </c>
      <c r="M15" s="62">
        <f>IF(ISERROR(TblImps[[#This Row],[algorithm]]),0,TblImps[[#This Row],[algorithm]]*1)</f>
        <v>0</v>
      </c>
      <c r="N15" s="97">
        <f ca="1">TblImps[[#This Row],[Land]]</f>
        <v>250</v>
      </c>
      <c r="O15" s="308" t="s">
        <v>4</v>
      </c>
      <c r="P15" s="309"/>
      <c r="Q15" s="308" t="s">
        <v>216</v>
      </c>
      <c r="R15" s="308" t="s">
        <v>7</v>
      </c>
      <c r="S15" s="309"/>
      <c r="T15" s="308" t="s">
        <v>216</v>
      </c>
      <c r="U15" s="308" t="s">
        <v>3</v>
      </c>
      <c r="V15" s="309"/>
      <c r="W15" s="308" t="s">
        <v>216</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44871.458333333307</v>
      </c>
      <c r="BZ15" s="317">
        <f ca="1">OFFSET(TblImps[[#This Row],[Servertime]],-1,0)+1/24</f>
        <v>44871.458333333307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100</v>
      </c>
      <c r="I16" s="183">
        <f ca="1">TblPop[[#This Row],[Employment]]</f>
        <v>0.9738283627510651</v>
      </c>
      <c r="J16" s="183">
        <f ca="1">TblPop[[#This Row],[Total]]/TblPop[[#This Row],[Net max]]</f>
        <v>0.82400339270568279</v>
      </c>
      <c r="K16" s="306">
        <f>TblRezone[[#This Row],[Hour]]</f>
        <v>13</v>
      </c>
      <c r="L16" s="307">
        <f ca="1">TblImps[[#This Row],[Real time]]</f>
        <v>44871.499999999971</v>
      </c>
      <c r="M16" s="62">
        <f>IF(ISERROR(TblImps[[#This Row],[algorithm]]),0,TblImps[[#This Row],[algorithm]]*1)</f>
        <v>0</v>
      </c>
      <c r="N16" s="97">
        <f ca="1">TblImps[[#This Row],[Land]]</f>
        <v>250</v>
      </c>
      <c r="O16" s="308" t="s">
        <v>4</v>
      </c>
      <c r="P16" s="309"/>
      <c r="Q16" s="308" t="s">
        <v>216</v>
      </c>
      <c r="R16" s="308" t="s">
        <v>7</v>
      </c>
      <c r="S16" s="309"/>
      <c r="T16" s="308" t="s">
        <v>216</v>
      </c>
      <c r="U16" s="308" t="s">
        <v>3</v>
      </c>
      <c r="V16" s="309"/>
      <c r="W16" s="308" t="s">
        <v>216</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44871.499999999971</v>
      </c>
      <c r="BZ16" s="317">
        <f ca="1">OFFSET(TblImps[[#This Row],[Servertime]],-1,0)+1/24</f>
        <v>44871.499999999971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100</v>
      </c>
      <c r="I17" s="183">
        <f ca="1">TblPop[[#This Row],[Employment]]</f>
        <v>0.95465393794749398</v>
      </c>
      <c r="J17" s="183">
        <f ca="1">TblPop[[#This Row],[Total]]/TblPop[[#This Row],[Net max]]</f>
        <v>0.83799830364715866</v>
      </c>
      <c r="K17" s="306">
        <f>TblRezone[[#This Row],[Hour]]</f>
        <v>14</v>
      </c>
      <c r="L17" s="307">
        <f ca="1">TblImps[[#This Row],[Real time]]</f>
        <v>44871.541666666635</v>
      </c>
      <c r="M17" s="62">
        <f>IF(ISERROR(TblImps[[#This Row],[algorithm]]),0,TblImps[[#This Row],[algorithm]]*1)</f>
        <v>0</v>
      </c>
      <c r="N17" s="97">
        <f ca="1">TblImps[[#This Row],[Land]]</f>
        <v>250</v>
      </c>
      <c r="O17" s="308" t="s">
        <v>4</v>
      </c>
      <c r="P17" s="309"/>
      <c r="Q17" s="308" t="s">
        <v>216</v>
      </c>
      <c r="R17" s="308" t="s">
        <v>7</v>
      </c>
      <c r="S17" s="309"/>
      <c r="T17" s="308" t="s">
        <v>216</v>
      </c>
      <c r="U17" s="308" t="s">
        <v>3</v>
      </c>
      <c r="V17" s="309"/>
      <c r="W17" s="308" t="s">
        <v>216</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44871.541666666635</v>
      </c>
      <c r="BZ17" s="317">
        <f ca="1">OFFSET(TblImps[[#This Row],[Servertime]],-1,0)+1/24</f>
        <v>44871.541666666635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100</v>
      </c>
      <c r="I18" s="183">
        <f ca="1">TblPop[[#This Row],[Employment]]</f>
        <v>0.93622001170275015</v>
      </c>
      <c r="J18" s="183">
        <f ca="1">TblPop[[#This Row],[Total]]/TblPop[[#This Row],[Net max]]</f>
        <v>0.85199321458863442</v>
      </c>
      <c r="K18" s="306">
        <f>TblRezone[[#This Row],[Hour]]</f>
        <v>15</v>
      </c>
      <c r="L18" s="307">
        <f ca="1">TblImps[[#This Row],[Real time]]</f>
        <v>44871.583333333299</v>
      </c>
      <c r="M18" s="62">
        <f>IF(ISERROR(TblImps[[#This Row],[algorithm]]),0,TblImps[[#This Row],[algorithm]]*1)</f>
        <v>0</v>
      </c>
      <c r="N18" s="97">
        <f ca="1">TblImps[[#This Row],[Land]]</f>
        <v>250</v>
      </c>
      <c r="O18" s="308" t="s">
        <v>4</v>
      </c>
      <c r="P18" s="309"/>
      <c r="Q18" s="308" t="s">
        <v>216</v>
      </c>
      <c r="R18" s="308" t="s">
        <v>7</v>
      </c>
      <c r="S18" s="309"/>
      <c r="T18" s="308" t="s">
        <v>216</v>
      </c>
      <c r="U18" s="308" t="s">
        <v>3</v>
      </c>
      <c r="V18" s="309"/>
      <c r="W18" s="308" t="s">
        <v>216</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44871.583333333299</v>
      </c>
      <c r="BZ18" s="317">
        <f ca="1">OFFSET(TblImps[[#This Row],[Servertime]],-1,0)+1/24</f>
        <v>44871.583333333299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100</v>
      </c>
      <c r="I19" s="183">
        <f ca="1">TblPop[[#This Row],[Employment]]</f>
        <v>0.91795754446356859</v>
      </c>
      <c r="J19" s="183">
        <f ca="1">TblPop[[#This Row],[Total]]/TblPop[[#This Row],[Net max]]</f>
        <v>0.86641221374045807</v>
      </c>
      <c r="K19" s="306">
        <f>TblRezone[[#This Row],[Hour]]</f>
        <v>16</v>
      </c>
      <c r="L19" s="307">
        <f ca="1">TblImps[[#This Row],[Real time]]</f>
        <v>44871.624999999964</v>
      </c>
      <c r="M19" s="62">
        <f>IF(ISERROR(TblImps[[#This Row],[algorithm]]),0,TblImps[[#This Row],[algorithm]]*1)</f>
        <v>0</v>
      </c>
      <c r="N19" s="97">
        <f ca="1">TblImps[[#This Row],[Land]]</f>
        <v>250</v>
      </c>
      <c r="O19" s="308" t="s">
        <v>4</v>
      </c>
      <c r="P19" s="309"/>
      <c r="Q19" s="308" t="s">
        <v>216</v>
      </c>
      <c r="R19" s="308" t="s">
        <v>7</v>
      </c>
      <c r="S19" s="309"/>
      <c r="T19" s="308" t="s">
        <v>216</v>
      </c>
      <c r="U19" s="308" t="s">
        <v>3</v>
      </c>
      <c r="V19" s="309"/>
      <c r="W19" s="308" t="s">
        <v>216</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44871.624999999964</v>
      </c>
      <c r="BZ19" s="317">
        <f ca="1">OFFSET(TblImps[[#This Row],[Servertime]],-1,0)+1/24</f>
        <v>44871.624999999964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100</v>
      </c>
      <c r="I20" s="183">
        <f ca="1">TblPop[[#This Row],[Employment]]</f>
        <v>0.89988751406074241</v>
      </c>
      <c r="J20" s="183">
        <f ca="1">TblPop[[#This Row],[Total]]/TblPop[[#This Row],[Net max]]</f>
        <v>0.8812553011026294</v>
      </c>
      <c r="K20" s="306">
        <f>TblRezone[[#This Row],[Hour]]</f>
        <v>17</v>
      </c>
      <c r="L20" s="307">
        <f ca="1">TblImps[[#This Row],[Real time]]</f>
        <v>44871.666666666628</v>
      </c>
      <c r="M20" s="62">
        <f>IF(ISERROR(TblImps[[#This Row],[algorithm]]),0,TblImps[[#This Row],[algorithm]]*1)</f>
        <v>0</v>
      </c>
      <c r="N20" s="97">
        <f ca="1">TblImps[[#This Row],[Land]]</f>
        <v>250</v>
      </c>
      <c r="O20" s="308" t="s">
        <v>4</v>
      </c>
      <c r="P20" s="309"/>
      <c r="Q20" s="308" t="s">
        <v>216</v>
      </c>
      <c r="R20" s="308" t="s">
        <v>7</v>
      </c>
      <c r="S20" s="309"/>
      <c r="T20" s="308" t="s">
        <v>216</v>
      </c>
      <c r="U20" s="308" t="s">
        <v>3</v>
      </c>
      <c r="V20" s="309"/>
      <c r="W20" s="308" t="s">
        <v>216</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44871.666666666628</v>
      </c>
      <c r="BZ20" s="317">
        <f ca="1">OFFSET(TblImps[[#This Row],[Servertime]],-1,0)+1/24</f>
        <v>44871.666666666628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100</v>
      </c>
      <c r="I21" s="183">
        <f ca="1">TblPop[[#This Row],[Employment]]</f>
        <v>0.88251516822945397</v>
      </c>
      <c r="J21" s="183">
        <f ca="1">TblPop[[#This Row],[Total]]/TblPop[[#This Row],[Net max]]</f>
        <v>0.89609838846480072</v>
      </c>
      <c r="K21" s="306">
        <f>TblRezone[[#This Row],[Hour]]</f>
        <v>18</v>
      </c>
      <c r="L21" s="307">
        <f ca="1">TblImps[[#This Row],[Real time]]</f>
        <v>44871.708333333292</v>
      </c>
      <c r="M21" s="62">
        <f>IF(ISERROR(TblImps[[#This Row],[algorithm]]),0,TblImps[[#This Row],[algorithm]]*1)</f>
        <v>0</v>
      </c>
      <c r="N21" s="97">
        <f ca="1">TblImps[[#This Row],[Land]]</f>
        <v>250</v>
      </c>
      <c r="O21" s="308" t="s">
        <v>4</v>
      </c>
      <c r="P21" s="309"/>
      <c r="Q21" s="308" t="s">
        <v>216</v>
      </c>
      <c r="R21" s="308" t="s">
        <v>7</v>
      </c>
      <c r="S21" s="309"/>
      <c r="T21" s="308" t="s">
        <v>216</v>
      </c>
      <c r="U21" s="308" t="s">
        <v>3</v>
      </c>
      <c r="V21" s="309"/>
      <c r="W21" s="308" t="s">
        <v>216</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44871.708333333292</v>
      </c>
      <c r="BZ21" s="317">
        <f ca="1">OFFSET(TblImps[[#This Row],[Servertime]],-1,0)+1/24</f>
        <v>44871.708333333292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100</v>
      </c>
      <c r="I22" s="183">
        <f ca="1">TblPop[[#This Row],[Employment]]</f>
        <v>0.86533261222282309</v>
      </c>
      <c r="J22" s="183">
        <f ca="1">TblPop[[#This Row],[Total]]/TblPop[[#This Row],[Net max]]</f>
        <v>0.91136556403731972</v>
      </c>
      <c r="K22" s="306">
        <f>TblRezone[[#This Row],[Hour]]</f>
        <v>19</v>
      </c>
      <c r="L22" s="307">
        <f ca="1">TblImps[[#This Row],[Real time]]</f>
        <v>44871.749999999956</v>
      </c>
      <c r="M22" s="62">
        <f>IF(ISERROR(TblImps[[#This Row],[algorithm]]),0,TblImps[[#This Row],[algorithm]]*1)</f>
        <v>0</v>
      </c>
      <c r="N22" s="97">
        <f ca="1">TblImps[[#This Row],[Land]]</f>
        <v>250</v>
      </c>
      <c r="O22" s="308" t="s">
        <v>4</v>
      </c>
      <c r="P22" s="309"/>
      <c r="Q22" s="308" t="s">
        <v>216</v>
      </c>
      <c r="R22" s="308" t="s">
        <v>7</v>
      </c>
      <c r="S22" s="309"/>
      <c r="T22" s="308" t="s">
        <v>216</v>
      </c>
      <c r="U22" s="308" t="s">
        <v>3</v>
      </c>
      <c r="V22" s="309"/>
      <c r="W22" s="308" t="s">
        <v>216</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44871.749999999956</v>
      </c>
      <c r="BZ22" s="317">
        <f ca="1">OFFSET(TblImps[[#This Row],[Servertime]],-1,0)+1/24</f>
        <v>44871.749999999956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100</v>
      </c>
      <c r="I23" s="183">
        <f ca="1">TblPop[[#This Row],[Employment]]</f>
        <v>0.84835630965005304</v>
      </c>
      <c r="J23" s="183">
        <f ca="1">TblPop[[#This Row],[Total]]/TblPop[[#This Row],[Net max]]</f>
        <v>0.92705682782018661</v>
      </c>
      <c r="K23" s="306">
        <f>TblRezone[[#This Row],[Hour]]</f>
        <v>20</v>
      </c>
      <c r="L23" s="307">
        <f ca="1">TblImps[[#This Row],[Real time]]</f>
        <v>44871.791666666621</v>
      </c>
      <c r="M23" s="62">
        <f>IF(ISERROR(TblImps[[#This Row],[algorithm]]),0,TblImps[[#This Row],[algorithm]]*1)</f>
        <v>0</v>
      </c>
      <c r="N23" s="97">
        <f ca="1">TblImps[[#This Row],[Land]]</f>
        <v>250</v>
      </c>
      <c r="O23" s="308" t="s">
        <v>4</v>
      </c>
      <c r="P23" s="309"/>
      <c r="Q23" s="308" t="s">
        <v>216</v>
      </c>
      <c r="R23" s="308" t="s">
        <v>7</v>
      </c>
      <c r="S23" s="309"/>
      <c r="T23" s="308" t="s">
        <v>216</v>
      </c>
      <c r="U23" s="308" t="s">
        <v>3</v>
      </c>
      <c r="V23" s="309"/>
      <c r="W23" s="308" t="s">
        <v>216</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44871.791666666621</v>
      </c>
      <c r="BZ23" s="317">
        <f ca="1">OFFSET(TblImps[[#This Row],[Servertime]],-1,0)+1/24</f>
        <v>44871.791666666621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100</v>
      </c>
      <c r="I24" s="183">
        <f ca="1">TblPop[[#This Row],[Employment]]</f>
        <v>0.8320332813312532</v>
      </c>
      <c r="J24" s="183">
        <f ca="1">TblPop[[#This Row],[Total]]/TblPop[[#This Row],[Net max]]</f>
        <v>0.9427480916030534</v>
      </c>
      <c r="K24" s="306">
        <f>TblRezone[[#This Row],[Hour]]</f>
        <v>21</v>
      </c>
      <c r="L24" s="307">
        <f ca="1">TblImps[[#This Row],[Real time]]</f>
        <v>44871.833333333285</v>
      </c>
      <c r="M24" s="62">
        <f>IF(ISERROR(TblImps[[#This Row],[algorithm]]),0,TblImps[[#This Row],[algorithm]]*1)</f>
        <v>0</v>
      </c>
      <c r="N24" s="97">
        <f ca="1">TblImps[[#This Row],[Land]]</f>
        <v>250</v>
      </c>
      <c r="O24" s="308" t="s">
        <v>4</v>
      </c>
      <c r="P24" s="309"/>
      <c r="Q24" s="308" t="s">
        <v>216</v>
      </c>
      <c r="R24" s="308" t="s">
        <v>7</v>
      </c>
      <c r="S24" s="309"/>
      <c r="T24" s="308" t="s">
        <v>216</v>
      </c>
      <c r="U24" s="308" t="s">
        <v>3</v>
      </c>
      <c r="V24" s="309"/>
      <c r="W24" s="308" t="s">
        <v>216</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44871.833333333285</v>
      </c>
      <c r="BZ24" s="317">
        <f ca="1">OFFSET(TblImps[[#This Row],[Servertime]],-1,0)+1/24</f>
        <v>44871.833333333285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100</v>
      </c>
      <c r="I25" s="183">
        <f ca="1">TblPop[[#This Row],[Employment]]</f>
        <v>0.81591024987251404</v>
      </c>
      <c r="J25" s="183">
        <f ca="1">TblPop[[#This Row],[Total]]/TblPop[[#This Row],[Net max]]</f>
        <v>0.95886344359626807</v>
      </c>
      <c r="K25" s="306">
        <f>TblRezone[[#This Row],[Hour]]</f>
        <v>22</v>
      </c>
      <c r="L25" s="307">
        <f ca="1">TblImps[[#This Row],[Real time]]</f>
        <v>44871.874999999949</v>
      </c>
      <c r="M25" s="62">
        <f>IF(ISERROR(TblImps[[#This Row],[algorithm]]),0,TblImps[[#This Row],[algorithm]]*1)</f>
        <v>0</v>
      </c>
      <c r="N25" s="97">
        <f ca="1">TblImps[[#This Row],[Land]]</f>
        <v>250</v>
      </c>
      <c r="O25" s="308" t="s">
        <v>4</v>
      </c>
      <c r="P25" s="309"/>
      <c r="Q25" s="308" t="s">
        <v>216</v>
      </c>
      <c r="R25" s="308" t="s">
        <v>7</v>
      </c>
      <c r="S25" s="309"/>
      <c r="T25" s="308" t="s">
        <v>216</v>
      </c>
      <c r="U25" s="308" t="s">
        <v>3</v>
      </c>
      <c r="V25" s="309"/>
      <c r="W25" s="308" t="s">
        <v>216</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44871.874999999949</v>
      </c>
      <c r="BZ25" s="317">
        <f ca="1">OFFSET(TblImps[[#This Row],[Servertime]],-1,0)+1/24</f>
        <v>44871.874999999949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100</v>
      </c>
      <c r="I26" s="183">
        <f ca="1">TblPop[[#This Row],[Employment]]</f>
        <v>0.80040020010004997</v>
      </c>
      <c r="J26" s="183">
        <f ca="1">TblPop[[#This Row],[Total]]/TblPop[[#This Row],[Net max]]</f>
        <v>0.97497879558948264</v>
      </c>
      <c r="K26" s="306">
        <f>TblRezone[[#This Row],[Hour]]</f>
        <v>23</v>
      </c>
      <c r="L26" s="307">
        <f ca="1">TblImps[[#This Row],[Real time]]</f>
        <v>44871.916666666613</v>
      </c>
      <c r="M26" s="62">
        <f>IF(ISERROR(TblImps[[#This Row],[algorithm]]),0,TblImps[[#This Row],[algorithm]]*1)</f>
        <v>0</v>
      </c>
      <c r="N26" s="97">
        <f ca="1">TblImps[[#This Row],[Land]]</f>
        <v>250</v>
      </c>
      <c r="O26" s="308" t="s">
        <v>4</v>
      </c>
      <c r="P26" s="309"/>
      <c r="Q26" s="308" t="s">
        <v>216</v>
      </c>
      <c r="R26" s="308" t="s">
        <v>7</v>
      </c>
      <c r="S26" s="309"/>
      <c r="T26" s="308" t="s">
        <v>216</v>
      </c>
      <c r="U26" s="308" t="s">
        <v>3</v>
      </c>
      <c r="V26" s="309"/>
      <c r="W26" s="308" t="s">
        <v>216</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44871.916666666613</v>
      </c>
      <c r="BZ26" s="317">
        <f ca="1">OFFSET(TblImps[[#This Row],[Servertime]],-1,0)+1/24</f>
        <v>44871.916666666613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100</v>
      </c>
      <c r="I27" s="183">
        <f ca="1">TblPop[[#This Row],[Employment]]</f>
        <v>0.78508341511285573</v>
      </c>
      <c r="J27" s="183">
        <f ca="1">TblPop[[#This Row],[Total]]/TblPop[[#This Row],[Net max]]</f>
        <v>0.99151823579304499</v>
      </c>
      <c r="K27" s="306">
        <f>TblRezone[[#This Row],[Hour]]</f>
        <v>24</v>
      </c>
      <c r="L27" s="307">
        <f ca="1">TblImps[[#This Row],[Real time]]</f>
        <v>44871.958333333278</v>
      </c>
      <c r="M27" s="62">
        <f>IF(ISERROR(TblImps[[#This Row],[algorithm]]),0,TblImps[[#This Row],[algorithm]]*1)</f>
        <v>0</v>
      </c>
      <c r="N27" s="97">
        <f ca="1">TblImps[[#This Row],[Land]]</f>
        <v>250</v>
      </c>
      <c r="O27" s="308" t="s">
        <v>4</v>
      </c>
      <c r="P27" s="309"/>
      <c r="Q27" s="308" t="s">
        <v>216</v>
      </c>
      <c r="R27" s="308" t="s">
        <v>7</v>
      </c>
      <c r="S27" s="309"/>
      <c r="T27" s="308" t="s">
        <v>216</v>
      </c>
      <c r="U27" s="308" t="s">
        <v>3</v>
      </c>
      <c r="V27" s="309"/>
      <c r="W27" s="308" t="s">
        <v>216</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44871.958333333278</v>
      </c>
      <c r="BZ27" s="317">
        <f ca="1">OFFSET(TblImps[[#This Row],[Servertime]],-1,0)+1/24</f>
        <v>44871.958333333278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100</v>
      </c>
      <c r="I28" s="183">
        <f ca="1">TblPop[[#This Row],[Employment]]</f>
        <v>0.78508341511285573</v>
      </c>
      <c r="J28" s="183">
        <f ca="1">TblPop[[#This Row],[Total]]/TblPop[[#This Row],[Net max]]</f>
        <v>0.99151823579304499</v>
      </c>
      <c r="K28" s="306">
        <f>TblRezone[[#This Row],[Hour]]</f>
        <v>25</v>
      </c>
      <c r="L28" s="307">
        <f ca="1">TblImps[[#This Row],[Real time]]</f>
        <v>44871.999999999942</v>
      </c>
      <c r="M28" s="62">
        <f>IF(ISERROR(TblImps[[#This Row],[algorithm]]),0,TblImps[[#This Row],[algorithm]]*1)</f>
        <v>0</v>
      </c>
      <c r="N28" s="97">
        <f ca="1">TblImps[[#This Row],[Land]]</f>
        <v>250</v>
      </c>
      <c r="O28" s="308" t="s">
        <v>4</v>
      </c>
      <c r="P28" s="309"/>
      <c r="Q28" s="308" t="s">
        <v>216</v>
      </c>
      <c r="R28" s="308" t="s">
        <v>7</v>
      </c>
      <c r="S28" s="309"/>
      <c r="T28" s="308" t="s">
        <v>216</v>
      </c>
      <c r="U28" s="308" t="s">
        <v>3</v>
      </c>
      <c r="V28" s="309"/>
      <c r="W28" s="308" t="s">
        <v>216</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44871.999999999942</v>
      </c>
      <c r="BZ28" s="317">
        <f ca="1">OFFSET(TblImps[[#This Row],[Servertime]],-1,0)+1/24</f>
        <v>44871.999999999942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100</v>
      </c>
      <c r="I29" s="183">
        <f ca="1">TblPop[[#This Row],[Employment]]</f>
        <v>0.78508341511285573</v>
      </c>
      <c r="J29" s="183">
        <f ca="1">TblPop[[#This Row],[Total]]/TblPop[[#This Row],[Net max]]</f>
        <v>0.99151823579304499</v>
      </c>
      <c r="K29" s="306">
        <f>TblRezone[[#This Row],[Hour]]</f>
        <v>26</v>
      </c>
      <c r="L29" s="307">
        <f ca="1">TblImps[[#This Row],[Real time]]</f>
        <v>44872.041666666606</v>
      </c>
      <c r="M29" s="62">
        <f>IF(ISERROR(TblImps[[#This Row],[algorithm]]),0,TblImps[[#This Row],[algorithm]]*1)</f>
        <v>0</v>
      </c>
      <c r="N29" s="97">
        <f ca="1">TblImps[[#This Row],[Land]]</f>
        <v>250</v>
      </c>
      <c r="O29" s="308" t="s">
        <v>4</v>
      </c>
      <c r="P29" s="309"/>
      <c r="Q29" s="308" t="s">
        <v>216</v>
      </c>
      <c r="R29" s="308" t="s">
        <v>7</v>
      </c>
      <c r="S29" s="309"/>
      <c r="T29" s="308" t="s">
        <v>216</v>
      </c>
      <c r="U29" s="308" t="s">
        <v>3</v>
      </c>
      <c r="V29" s="309"/>
      <c r="W29" s="308" t="s">
        <v>216</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44872.041666666606</v>
      </c>
      <c r="BZ29" s="317">
        <f ca="1">OFFSET(TblImps[[#This Row],[Servertime]],-1,0)+1/24</f>
        <v>44872.041666666606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100</v>
      </c>
      <c r="I30" s="183">
        <f ca="1">TblPop[[#This Row],[Employment]]</f>
        <v>0.78508341511285573</v>
      </c>
      <c r="J30" s="183">
        <f ca="1">TblPop[[#This Row],[Total]]/TblPop[[#This Row],[Net max]]</f>
        <v>0.99151823579304499</v>
      </c>
      <c r="K30" s="306">
        <f>TblRezone[[#This Row],[Hour]]</f>
        <v>27</v>
      </c>
      <c r="L30" s="307">
        <f ca="1">TblImps[[#This Row],[Real time]]</f>
        <v>44872.08333333327</v>
      </c>
      <c r="M30" s="62">
        <f>IF(ISERROR(TblImps[[#This Row],[algorithm]]),0,TblImps[[#This Row],[algorithm]]*1)</f>
        <v>0</v>
      </c>
      <c r="N30" s="97">
        <f ca="1">TblImps[[#This Row],[Land]]</f>
        <v>250</v>
      </c>
      <c r="O30" s="308" t="s">
        <v>4</v>
      </c>
      <c r="P30" s="309"/>
      <c r="Q30" s="308" t="s">
        <v>216</v>
      </c>
      <c r="R30" s="308" t="s">
        <v>7</v>
      </c>
      <c r="S30" s="309"/>
      <c r="T30" s="308" t="s">
        <v>216</v>
      </c>
      <c r="U30" s="308" t="s">
        <v>3</v>
      </c>
      <c r="V30" s="309"/>
      <c r="W30" s="308" t="s">
        <v>216</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44872.08333333327</v>
      </c>
      <c r="BZ30" s="317">
        <f ca="1">OFFSET(TblImps[[#This Row],[Servertime]],-1,0)+1/24</f>
        <v>44872.08333333327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100</v>
      </c>
      <c r="I31" s="183">
        <f ca="1">TblPop[[#This Row],[Employment]]</f>
        <v>0.78508341511285573</v>
      </c>
      <c r="J31" s="183">
        <f ca="1">TblPop[[#This Row],[Total]]/TblPop[[#This Row],[Net max]]</f>
        <v>0.99151823579304499</v>
      </c>
      <c r="K31" s="306">
        <f>TblRezone[[#This Row],[Hour]]</f>
        <v>28</v>
      </c>
      <c r="L31" s="307">
        <f ca="1">TblImps[[#This Row],[Real time]]</f>
        <v>44872.124999999935</v>
      </c>
      <c r="M31" s="62">
        <f>IF(ISERROR(TblImps[[#This Row],[algorithm]]),0,TblImps[[#This Row],[algorithm]]*1)</f>
        <v>0</v>
      </c>
      <c r="N31" s="97">
        <f ca="1">TblImps[[#This Row],[Land]]</f>
        <v>250</v>
      </c>
      <c r="O31" s="308" t="s">
        <v>4</v>
      </c>
      <c r="P31" s="309"/>
      <c r="Q31" s="308" t="s">
        <v>216</v>
      </c>
      <c r="R31" s="308" t="s">
        <v>7</v>
      </c>
      <c r="S31" s="309"/>
      <c r="T31" s="308" t="s">
        <v>216</v>
      </c>
      <c r="U31" s="308" t="s">
        <v>3</v>
      </c>
      <c r="V31" s="309"/>
      <c r="W31" s="308" t="s">
        <v>216</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44872.124999999935</v>
      </c>
      <c r="BZ31" s="317">
        <f ca="1">OFFSET(TblImps[[#This Row],[Servertime]],-1,0)+1/24</f>
        <v>44872.124999999935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100</v>
      </c>
      <c r="I32" s="183">
        <f ca="1">TblPop[[#This Row],[Employment]]</f>
        <v>0.78508341511285573</v>
      </c>
      <c r="J32" s="183">
        <f ca="1">TblPop[[#This Row],[Total]]/TblPop[[#This Row],[Net max]]</f>
        <v>0.99151823579304499</v>
      </c>
      <c r="K32" s="306">
        <f>TblRezone[[#This Row],[Hour]]</f>
        <v>29</v>
      </c>
      <c r="L32" s="307">
        <f ca="1">TblImps[[#This Row],[Real time]]</f>
        <v>44872.166666666599</v>
      </c>
      <c r="M32" s="62">
        <f>IF(ISERROR(TblImps[[#This Row],[algorithm]]),0,TblImps[[#This Row],[algorithm]]*1)</f>
        <v>0</v>
      </c>
      <c r="N32" s="97">
        <f ca="1">TblImps[[#This Row],[Land]]</f>
        <v>250</v>
      </c>
      <c r="O32" s="308" t="s">
        <v>4</v>
      </c>
      <c r="P32" s="309"/>
      <c r="Q32" s="308" t="s">
        <v>216</v>
      </c>
      <c r="R32" s="308" t="s">
        <v>7</v>
      </c>
      <c r="S32" s="309"/>
      <c r="T32" s="308" t="s">
        <v>216</v>
      </c>
      <c r="U32" s="308" t="s">
        <v>3</v>
      </c>
      <c r="V32" s="309"/>
      <c r="W32" s="308" t="s">
        <v>216</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44872.166666666599</v>
      </c>
      <c r="BZ32" s="317">
        <f ca="1">OFFSET(TblImps[[#This Row],[Servertime]],-1,0)+1/24</f>
        <v>44872.166666666599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100</v>
      </c>
      <c r="I33" s="183">
        <f ca="1">TblPop[[#This Row],[Employment]]</f>
        <v>0.78508341511285573</v>
      </c>
      <c r="J33" s="183">
        <f ca="1">TblPop[[#This Row],[Total]]/TblPop[[#This Row],[Net max]]</f>
        <v>0.99151823579304499</v>
      </c>
      <c r="K33" s="306">
        <f>TblRezone[[#This Row],[Hour]]</f>
        <v>30</v>
      </c>
      <c r="L33" s="307">
        <f ca="1">TblImps[[#This Row],[Real time]]</f>
        <v>44872.208333333263</v>
      </c>
      <c r="M33" s="62">
        <f>IF(ISERROR(TblImps[[#This Row],[algorithm]]),0,TblImps[[#This Row],[algorithm]]*1)</f>
        <v>0</v>
      </c>
      <c r="N33" s="97">
        <f ca="1">TblImps[[#This Row],[Land]]</f>
        <v>250</v>
      </c>
      <c r="O33" s="308" t="s">
        <v>4</v>
      </c>
      <c r="P33" s="309"/>
      <c r="Q33" s="308" t="s">
        <v>216</v>
      </c>
      <c r="R33" s="308" t="s">
        <v>7</v>
      </c>
      <c r="S33" s="309"/>
      <c r="T33" s="308" t="s">
        <v>216</v>
      </c>
      <c r="U33" s="308" t="s">
        <v>3</v>
      </c>
      <c r="V33" s="309"/>
      <c r="W33" s="308" t="s">
        <v>216</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44872.208333333263</v>
      </c>
      <c r="BZ33" s="317">
        <f ca="1">OFFSET(TblImps[[#This Row],[Servertime]],-1,0)+1/24</f>
        <v>44872.208333333263</v>
      </c>
      <c r="CA33" s="57"/>
      <c r="CB33" s="315"/>
      <c r="CC33" s="315"/>
      <c r="CD33" s="45" t="s">
        <v>2</v>
      </c>
    </row>
    <row r="34" spans="1:82" x14ac:dyDescent="0.2">
      <c r="A34" s="225">
        <f ca="1">TblConstr[[#This Row],[Land]]</f>
        <v>250</v>
      </c>
      <c r="B34" s="145"/>
      <c r="C34" s="97">
        <f ca="1">TblProd[[#This Row],[Platinum]]</f>
        <v>265221</v>
      </c>
      <c r="D34" s="97">
        <f ca="1">TblProd[[#This Row],[Lumber]]</f>
        <v>37125</v>
      </c>
      <c r="E34" s="97">
        <f ca="1">TblProd[[#This Row],[Ore]]</f>
        <v>0</v>
      </c>
      <c r="F34" s="97">
        <f ca="1">TblProd[[#This Row],[Gems]]</f>
        <v>10000</v>
      </c>
      <c r="G34" s="157"/>
      <c r="H34" s="97">
        <f ca="1">TblMili[[#This Row],[Draftees]]</f>
        <v>100</v>
      </c>
      <c r="I34" s="183">
        <f ca="1">TblPop[[#This Row],[Employment]]</f>
        <v>0.78508341511285573</v>
      </c>
      <c r="J34" s="183">
        <f ca="1">TblPop[[#This Row],[Total]]/TblPop[[#This Row],[Net max]]</f>
        <v>0.99151823579304499</v>
      </c>
      <c r="K34" s="306">
        <f>TblRezone[[#This Row],[Hour]]</f>
        <v>31</v>
      </c>
      <c r="L34" s="307">
        <f ca="1">TblImps[[#This Row],[Real time]]</f>
        <v>44872.249999999927</v>
      </c>
      <c r="M34" s="62">
        <f>IF(ISERROR(TblImps[[#This Row],[algorithm]]),0,TblImps[[#This Row],[algorithm]]*1)</f>
        <v>0</v>
      </c>
      <c r="N34" s="97">
        <f ca="1">TblImps[[#This Row],[Land]]</f>
        <v>250</v>
      </c>
      <c r="O34" s="308" t="s">
        <v>4</v>
      </c>
      <c r="P34" s="309"/>
      <c r="Q34" s="308" t="s">
        <v>216</v>
      </c>
      <c r="R34" s="308" t="s">
        <v>7</v>
      </c>
      <c r="S34" s="309"/>
      <c r="T34" s="308" t="s">
        <v>216</v>
      </c>
      <c r="U34" s="308" t="s">
        <v>3</v>
      </c>
      <c r="V34" s="309"/>
      <c r="W34" s="308" t="s">
        <v>216</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44872.249999999927</v>
      </c>
      <c r="BZ34" s="317">
        <f ca="1">OFFSET(TblImps[[#This Row],[Servertime]],-1,0)+1/24</f>
        <v>44872.249999999927</v>
      </c>
      <c r="CA34" s="57"/>
      <c r="CB34" s="315"/>
      <c r="CC34" s="315"/>
    </row>
    <row r="35" spans="1:82" x14ac:dyDescent="0.2">
      <c r="A35" s="225">
        <f ca="1">TblConstr[[#This Row],[Land]]</f>
        <v>250</v>
      </c>
      <c r="B35" s="145"/>
      <c r="C35" s="97">
        <f ca="1">TblProd[[#This Row],[Platinum]]</f>
        <v>270891</v>
      </c>
      <c r="D35" s="97">
        <f ca="1">TblProd[[#This Row],[Lumber]]</f>
        <v>37754</v>
      </c>
      <c r="E35" s="97">
        <f ca="1">TblProd[[#This Row],[Ore]]</f>
        <v>0</v>
      </c>
      <c r="F35" s="97">
        <f ca="1">TblProd[[#This Row],[Gems]]</f>
        <v>10000</v>
      </c>
      <c r="G35" s="157"/>
      <c r="H35" s="97">
        <f ca="1">TblMili[[#This Row],[Draftees]]</f>
        <v>100</v>
      </c>
      <c r="I35" s="183">
        <f ca="1">TblPop[[#This Row],[Employment]]</f>
        <v>0.78508341511285573</v>
      </c>
      <c r="J35" s="183">
        <f ca="1">TblPop[[#This Row],[Total]]/TblPop[[#This Row],[Net max]]</f>
        <v>0.99151823579304499</v>
      </c>
      <c r="K35" s="306">
        <f>TblRezone[[#This Row],[Hour]]</f>
        <v>32</v>
      </c>
      <c r="L35" s="307">
        <f ca="1">TblImps[[#This Row],[Real time]]</f>
        <v>44872.291666666591</v>
      </c>
      <c r="M35" s="62">
        <f>IF(ISERROR(TblImps[[#This Row],[algorithm]]),0,TblImps[[#This Row],[algorithm]]*1)</f>
        <v>0</v>
      </c>
      <c r="N35" s="97">
        <f ca="1">TblImps[[#This Row],[Land]]</f>
        <v>250</v>
      </c>
      <c r="O35" s="308" t="s">
        <v>4</v>
      </c>
      <c r="P35" s="309"/>
      <c r="Q35" s="308" t="s">
        <v>216</v>
      </c>
      <c r="R35" s="308" t="s">
        <v>7</v>
      </c>
      <c r="S35" s="309"/>
      <c r="T35" s="308" t="s">
        <v>216</v>
      </c>
      <c r="U35" s="308" t="s">
        <v>3</v>
      </c>
      <c r="V35" s="309"/>
      <c r="W35" s="308" t="s">
        <v>216</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44872.291666666591</v>
      </c>
      <c r="BZ35" s="317">
        <f ca="1">OFFSET(TblImps[[#This Row],[Servertime]],-1,0)+1/24</f>
        <v>44872.291666666591</v>
      </c>
      <c r="CA35" s="57"/>
      <c r="CB35" s="315"/>
      <c r="CC35" s="315"/>
      <c r="CD35" s="45" t="s">
        <v>214</v>
      </c>
    </row>
    <row r="36" spans="1:82" x14ac:dyDescent="0.2">
      <c r="A36" s="225">
        <f ca="1">TblConstr[[#This Row],[Land]]</f>
        <v>250</v>
      </c>
      <c r="B36" s="145"/>
      <c r="C36" s="97">
        <f ca="1">TblProd[[#This Row],[Platinum]]</f>
        <v>276561</v>
      </c>
      <c r="D36" s="97">
        <f ca="1">TblProd[[#This Row],[Lumber]]</f>
        <v>38376</v>
      </c>
      <c r="E36" s="97">
        <f ca="1">TblProd[[#This Row],[Ore]]</f>
        <v>0</v>
      </c>
      <c r="F36" s="97">
        <f ca="1">TblProd[[#This Row],[Gems]]</f>
        <v>10000</v>
      </c>
      <c r="G36" s="157"/>
      <c r="H36" s="97">
        <f ca="1">TblMili[[#This Row],[Draftees]]</f>
        <v>100</v>
      </c>
      <c r="I36" s="183">
        <f ca="1">TblPop[[#This Row],[Employment]]</f>
        <v>0.78508341511285573</v>
      </c>
      <c r="J36" s="183">
        <f ca="1">TblPop[[#This Row],[Total]]/TblPop[[#This Row],[Net max]]</f>
        <v>0.99151823579304499</v>
      </c>
      <c r="K36" s="306">
        <f>TblRezone[[#This Row],[Hour]]</f>
        <v>33</v>
      </c>
      <c r="L36" s="307">
        <f ca="1">TblImps[[#This Row],[Real time]]</f>
        <v>44872.333333333256</v>
      </c>
      <c r="M36" s="62">
        <f>IF(ISERROR(TblImps[[#This Row],[algorithm]]),0,TblImps[[#This Row],[algorithm]]*1)</f>
        <v>0</v>
      </c>
      <c r="N36" s="97">
        <f ca="1">TblImps[[#This Row],[Land]]</f>
        <v>250</v>
      </c>
      <c r="O36" s="308" t="s">
        <v>4</v>
      </c>
      <c r="P36" s="309"/>
      <c r="Q36" s="308" t="s">
        <v>216</v>
      </c>
      <c r="R36" s="308" t="s">
        <v>7</v>
      </c>
      <c r="S36" s="309"/>
      <c r="T36" s="308" t="s">
        <v>216</v>
      </c>
      <c r="U36" s="308" t="s">
        <v>3</v>
      </c>
      <c r="V36" s="309"/>
      <c r="W36" s="308" t="s">
        <v>216</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44872.333333333256</v>
      </c>
      <c r="BZ36" s="317">
        <f ca="1">OFFSET(TblImps[[#This Row],[Servertime]],-1,0)+1/24</f>
        <v>44872.333333333256</v>
      </c>
      <c r="CA36" s="57"/>
      <c r="CB36" s="315"/>
      <c r="CC36" s="315"/>
      <c r="CD36" s="45" t="s">
        <v>216</v>
      </c>
    </row>
    <row r="37" spans="1:82" x14ac:dyDescent="0.2">
      <c r="A37" s="225">
        <f ca="1">TblConstr[[#This Row],[Land]]</f>
        <v>250</v>
      </c>
      <c r="B37" s="145"/>
      <c r="C37" s="97">
        <f ca="1">TblProd[[#This Row],[Platinum]]</f>
        <v>282231</v>
      </c>
      <c r="D37" s="97">
        <f ca="1">TblProd[[#This Row],[Lumber]]</f>
        <v>38992</v>
      </c>
      <c r="E37" s="97">
        <f ca="1">TblProd[[#This Row],[Ore]]</f>
        <v>0</v>
      </c>
      <c r="F37" s="97">
        <f ca="1">TblProd[[#This Row],[Gems]]</f>
        <v>10000</v>
      </c>
      <c r="G37" s="157"/>
      <c r="H37" s="97">
        <f ca="1">TblMili[[#This Row],[Draftees]]</f>
        <v>100</v>
      </c>
      <c r="I37" s="183">
        <f ca="1">TblPop[[#This Row],[Employment]]</f>
        <v>0.78508341511285573</v>
      </c>
      <c r="J37" s="183">
        <f ca="1">TblPop[[#This Row],[Total]]/TblPop[[#This Row],[Net max]]</f>
        <v>0.99151823579304499</v>
      </c>
      <c r="K37" s="306">
        <f>TblRezone[[#This Row],[Hour]]</f>
        <v>34</v>
      </c>
      <c r="L37" s="307">
        <f ca="1">TblImps[[#This Row],[Real time]]</f>
        <v>44872.37499999992</v>
      </c>
      <c r="M37" s="62">
        <f>IF(ISERROR(TblImps[[#This Row],[algorithm]]),0,TblImps[[#This Row],[algorithm]]*1)</f>
        <v>0</v>
      </c>
      <c r="N37" s="97">
        <f ca="1">TblImps[[#This Row],[Land]]</f>
        <v>250</v>
      </c>
      <c r="O37" s="308" t="s">
        <v>4</v>
      </c>
      <c r="P37" s="309"/>
      <c r="Q37" s="308" t="s">
        <v>216</v>
      </c>
      <c r="R37" s="308" t="s">
        <v>7</v>
      </c>
      <c r="S37" s="309"/>
      <c r="T37" s="308" t="s">
        <v>216</v>
      </c>
      <c r="U37" s="308" t="s">
        <v>3</v>
      </c>
      <c r="V37" s="309"/>
      <c r="W37" s="308" t="s">
        <v>216</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44872.37499999992</v>
      </c>
      <c r="BZ37" s="317">
        <f ca="1">OFFSET(TblImps[[#This Row],[Servertime]],-1,0)+1/24</f>
        <v>44872.37499999992</v>
      </c>
      <c r="CA37" s="57"/>
      <c r="CB37" s="315"/>
      <c r="CC37" s="315"/>
      <c r="CD37" s="45" t="s">
        <v>217</v>
      </c>
    </row>
    <row r="38" spans="1:82" x14ac:dyDescent="0.2">
      <c r="A38" s="225">
        <f ca="1">TblConstr[[#This Row],[Land]]</f>
        <v>250</v>
      </c>
      <c r="B38" s="145"/>
      <c r="C38" s="97">
        <f ca="1">TblProd[[#This Row],[Platinum]]</f>
        <v>287901</v>
      </c>
      <c r="D38" s="97">
        <f ca="1">TblProd[[#This Row],[Lumber]]</f>
        <v>39602</v>
      </c>
      <c r="E38" s="97">
        <f ca="1">TblProd[[#This Row],[Ore]]</f>
        <v>0</v>
      </c>
      <c r="F38" s="97">
        <f ca="1">TblProd[[#This Row],[Gems]]</f>
        <v>10000</v>
      </c>
      <c r="G38" s="157"/>
      <c r="H38" s="97">
        <f ca="1">TblMili[[#This Row],[Draftees]]</f>
        <v>100</v>
      </c>
      <c r="I38" s="183">
        <f ca="1">TblPop[[#This Row],[Employment]]</f>
        <v>0.78508341511285573</v>
      </c>
      <c r="J38" s="183">
        <f ca="1">TblPop[[#This Row],[Total]]/TblPop[[#This Row],[Net max]]</f>
        <v>0.99151823579304499</v>
      </c>
      <c r="K38" s="306">
        <f>TblRezone[[#This Row],[Hour]]</f>
        <v>35</v>
      </c>
      <c r="L38" s="307">
        <f ca="1">TblImps[[#This Row],[Real time]]</f>
        <v>44872.416666666584</v>
      </c>
      <c r="M38" s="62">
        <f>IF(ISERROR(TblImps[[#This Row],[algorithm]]),0,TblImps[[#This Row],[algorithm]]*1)</f>
        <v>0</v>
      </c>
      <c r="N38" s="97">
        <f ca="1">TblImps[[#This Row],[Land]]</f>
        <v>250</v>
      </c>
      <c r="O38" s="308" t="s">
        <v>4</v>
      </c>
      <c r="P38" s="309"/>
      <c r="Q38" s="308" t="s">
        <v>216</v>
      </c>
      <c r="R38" s="308" t="s">
        <v>7</v>
      </c>
      <c r="S38" s="309"/>
      <c r="T38" s="308" t="s">
        <v>216</v>
      </c>
      <c r="U38" s="308" t="s">
        <v>3</v>
      </c>
      <c r="V38" s="309"/>
      <c r="W38" s="308" t="s">
        <v>216</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44872.416666666584</v>
      </c>
      <c r="BZ38" s="317">
        <f ca="1">OFFSET(TblImps[[#This Row],[Servertime]],-1,0)+1/24</f>
        <v>44872.416666666584</v>
      </c>
      <c r="CA38" s="57"/>
      <c r="CB38" s="315"/>
      <c r="CC38" s="315"/>
      <c r="CD38" s="45" t="s">
        <v>218</v>
      </c>
    </row>
    <row r="39" spans="1:82" x14ac:dyDescent="0.2">
      <c r="A39" s="225">
        <f ca="1">TblConstr[[#This Row],[Land]]</f>
        <v>250</v>
      </c>
      <c r="B39" s="145"/>
      <c r="C39" s="97">
        <f ca="1">TblProd[[#This Row],[Platinum]]</f>
        <v>293571</v>
      </c>
      <c r="D39" s="97">
        <f ca="1">TblProd[[#This Row],[Lumber]]</f>
        <v>40206</v>
      </c>
      <c r="E39" s="97">
        <f ca="1">TblProd[[#This Row],[Ore]]</f>
        <v>0</v>
      </c>
      <c r="F39" s="97">
        <f ca="1">TblProd[[#This Row],[Gems]]</f>
        <v>10000</v>
      </c>
      <c r="G39" s="157"/>
      <c r="H39" s="97">
        <f ca="1">TblMili[[#This Row],[Draftees]]</f>
        <v>100</v>
      </c>
      <c r="I39" s="183">
        <f ca="1">TblPop[[#This Row],[Employment]]</f>
        <v>0.78508341511285573</v>
      </c>
      <c r="J39" s="183">
        <f ca="1">TblPop[[#This Row],[Total]]/TblPop[[#This Row],[Net max]]</f>
        <v>0.99151823579304499</v>
      </c>
      <c r="K39" s="306">
        <f>TblRezone[[#This Row],[Hour]]</f>
        <v>36</v>
      </c>
      <c r="L39" s="307">
        <f ca="1">TblImps[[#This Row],[Real time]]</f>
        <v>44872.458333333248</v>
      </c>
      <c r="M39" s="62">
        <f>IF(ISERROR(TblImps[[#This Row],[algorithm]]),0,TblImps[[#This Row],[algorithm]]*1)</f>
        <v>0</v>
      </c>
      <c r="N39" s="97">
        <f ca="1">TblImps[[#This Row],[Land]]</f>
        <v>250</v>
      </c>
      <c r="O39" s="308" t="s">
        <v>4</v>
      </c>
      <c r="P39" s="309"/>
      <c r="Q39" s="308" t="s">
        <v>216</v>
      </c>
      <c r="R39" s="308" t="s">
        <v>7</v>
      </c>
      <c r="S39" s="309"/>
      <c r="T39" s="308" t="s">
        <v>216</v>
      </c>
      <c r="U39" s="308" t="s">
        <v>3</v>
      </c>
      <c r="V39" s="309"/>
      <c r="W39" s="308" t="s">
        <v>216</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44872.458333333248</v>
      </c>
      <c r="BZ39" s="317">
        <f ca="1">OFFSET(TblImps[[#This Row],[Servertime]],-1,0)+1/24</f>
        <v>44872.458333333248</v>
      </c>
      <c r="CA39" s="57"/>
      <c r="CB39" s="315"/>
      <c r="CC39" s="315"/>
      <c r="CD39" s="45" t="s">
        <v>219</v>
      </c>
    </row>
    <row r="40" spans="1:82" x14ac:dyDescent="0.2">
      <c r="A40" s="225">
        <f ca="1">TblConstr[[#This Row],[Land]]</f>
        <v>250</v>
      </c>
      <c r="B40" s="145"/>
      <c r="C40" s="97">
        <f ca="1">TblProd[[#This Row],[Platinum]]</f>
        <v>299241</v>
      </c>
      <c r="D40" s="97">
        <f ca="1">TblProd[[#This Row],[Lumber]]</f>
        <v>40804</v>
      </c>
      <c r="E40" s="97">
        <f ca="1">TblProd[[#This Row],[Ore]]</f>
        <v>0</v>
      </c>
      <c r="F40" s="97">
        <f ca="1">TblProd[[#This Row],[Gems]]</f>
        <v>10000</v>
      </c>
      <c r="G40" s="157"/>
      <c r="H40" s="97">
        <f ca="1">TblMili[[#This Row],[Draftees]]</f>
        <v>100</v>
      </c>
      <c r="I40" s="183">
        <f ca="1">TblPop[[#This Row],[Employment]]</f>
        <v>0.78508341511285573</v>
      </c>
      <c r="J40" s="183">
        <f ca="1">TblPop[[#This Row],[Total]]/TblPop[[#This Row],[Net max]]</f>
        <v>0.99151823579304499</v>
      </c>
      <c r="K40" s="306">
        <f>TblRezone[[#This Row],[Hour]]</f>
        <v>37</v>
      </c>
      <c r="L40" s="307">
        <f ca="1">TblImps[[#This Row],[Real time]]</f>
        <v>44872.499999999913</v>
      </c>
      <c r="M40" s="62">
        <f>IF(ISERROR(TblImps[[#This Row],[algorithm]]),0,TblImps[[#This Row],[algorithm]]*1)</f>
        <v>0</v>
      </c>
      <c r="N40" s="97">
        <f ca="1">TblImps[[#This Row],[Land]]</f>
        <v>250</v>
      </c>
      <c r="O40" s="308" t="s">
        <v>4</v>
      </c>
      <c r="P40" s="309"/>
      <c r="Q40" s="308" t="s">
        <v>216</v>
      </c>
      <c r="R40" s="308" t="s">
        <v>7</v>
      </c>
      <c r="S40" s="309"/>
      <c r="T40" s="308" t="s">
        <v>216</v>
      </c>
      <c r="U40" s="308" t="s">
        <v>3</v>
      </c>
      <c r="V40" s="309"/>
      <c r="W40" s="308" t="s">
        <v>216</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44872.499999999913</v>
      </c>
      <c r="BZ40" s="317">
        <f ca="1">OFFSET(TblImps[[#This Row],[Servertime]],-1,0)+1/24</f>
        <v>44872.499999999913</v>
      </c>
      <c r="CA40" s="57"/>
      <c r="CB40" s="315"/>
      <c r="CC40" s="315"/>
      <c r="CD40" s="45" t="s">
        <v>220</v>
      </c>
    </row>
    <row r="41" spans="1:82" x14ac:dyDescent="0.2">
      <c r="A41" s="225">
        <f ca="1">TblConstr[[#This Row],[Land]]</f>
        <v>250</v>
      </c>
      <c r="B41" s="145"/>
      <c r="C41" s="97">
        <f ca="1">TblProd[[#This Row],[Platinum]]</f>
        <v>304911</v>
      </c>
      <c r="D41" s="97">
        <f ca="1">TblProd[[#This Row],[Lumber]]</f>
        <v>41396</v>
      </c>
      <c r="E41" s="97">
        <f ca="1">TblProd[[#This Row],[Ore]]</f>
        <v>0</v>
      </c>
      <c r="F41" s="97">
        <f ca="1">TblProd[[#This Row],[Gems]]</f>
        <v>10000</v>
      </c>
      <c r="G41" s="157"/>
      <c r="H41" s="97">
        <f ca="1">TblMili[[#This Row],[Draftees]]</f>
        <v>100</v>
      </c>
      <c r="I41" s="183">
        <f ca="1">TblPop[[#This Row],[Employment]]</f>
        <v>0.78508341511285573</v>
      </c>
      <c r="J41" s="183">
        <f ca="1">TblPop[[#This Row],[Total]]/TblPop[[#This Row],[Net max]]</f>
        <v>0.99151823579304499</v>
      </c>
      <c r="K41" s="306">
        <f>TblRezone[[#This Row],[Hour]]</f>
        <v>38</v>
      </c>
      <c r="L41" s="307">
        <f ca="1">TblImps[[#This Row],[Real time]]</f>
        <v>44872.541666666577</v>
      </c>
      <c r="M41" s="62">
        <f>IF(ISERROR(TblImps[[#This Row],[algorithm]]),0,TblImps[[#This Row],[algorithm]]*1)</f>
        <v>0</v>
      </c>
      <c r="N41" s="97">
        <f ca="1">TblImps[[#This Row],[Land]]</f>
        <v>250</v>
      </c>
      <c r="O41" s="308" t="s">
        <v>4</v>
      </c>
      <c r="P41" s="309"/>
      <c r="Q41" s="308" t="s">
        <v>216</v>
      </c>
      <c r="R41" s="308" t="s">
        <v>7</v>
      </c>
      <c r="S41" s="309"/>
      <c r="T41" s="308" t="s">
        <v>216</v>
      </c>
      <c r="U41" s="308" t="s">
        <v>3</v>
      </c>
      <c r="V41" s="309"/>
      <c r="W41" s="308" t="s">
        <v>216</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44872.541666666577</v>
      </c>
      <c r="BZ41" s="317">
        <f ca="1">OFFSET(TblImps[[#This Row],[Servertime]],-1,0)+1/24</f>
        <v>44872.541666666577</v>
      </c>
      <c r="CA41" s="57"/>
      <c r="CB41" s="315"/>
      <c r="CC41" s="315"/>
    </row>
    <row r="42" spans="1:82" x14ac:dyDescent="0.2">
      <c r="A42" s="225">
        <f ca="1">TblConstr[[#This Row],[Land]]</f>
        <v>250</v>
      </c>
      <c r="B42" s="145"/>
      <c r="C42" s="97">
        <f ca="1">TblProd[[#This Row],[Platinum]]</f>
        <v>310581</v>
      </c>
      <c r="D42" s="97">
        <f ca="1">TblProd[[#This Row],[Lumber]]</f>
        <v>41982</v>
      </c>
      <c r="E42" s="97">
        <f ca="1">TblProd[[#This Row],[Ore]]</f>
        <v>0</v>
      </c>
      <c r="F42" s="97">
        <f ca="1">TblProd[[#This Row],[Gems]]</f>
        <v>10000</v>
      </c>
      <c r="G42" s="157"/>
      <c r="H42" s="97">
        <f ca="1">TblMili[[#This Row],[Draftees]]</f>
        <v>100</v>
      </c>
      <c r="I42" s="183">
        <f ca="1">TblPop[[#This Row],[Employment]]</f>
        <v>0.78508341511285573</v>
      </c>
      <c r="J42" s="183">
        <f ca="1">TblPop[[#This Row],[Total]]/TblPop[[#This Row],[Net max]]</f>
        <v>0.99151823579304499</v>
      </c>
      <c r="K42" s="306">
        <f>TblRezone[[#This Row],[Hour]]</f>
        <v>39</v>
      </c>
      <c r="L42" s="307">
        <f ca="1">TblImps[[#This Row],[Real time]]</f>
        <v>44872.583333333241</v>
      </c>
      <c r="M42" s="62">
        <f>IF(ISERROR(TblImps[[#This Row],[algorithm]]),0,TblImps[[#This Row],[algorithm]]*1)</f>
        <v>0</v>
      </c>
      <c r="N42" s="97">
        <f ca="1">TblImps[[#This Row],[Land]]</f>
        <v>250</v>
      </c>
      <c r="O42" s="308" t="s">
        <v>4</v>
      </c>
      <c r="P42" s="309"/>
      <c r="Q42" s="308" t="s">
        <v>216</v>
      </c>
      <c r="R42" s="308" t="s">
        <v>7</v>
      </c>
      <c r="S42" s="309"/>
      <c r="T42" s="308" t="s">
        <v>216</v>
      </c>
      <c r="U42" s="308" t="s">
        <v>3</v>
      </c>
      <c r="V42" s="309"/>
      <c r="W42" s="308" t="s">
        <v>216</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44872.583333333241</v>
      </c>
      <c r="BZ42" s="317">
        <f ca="1">OFFSET(TblImps[[#This Row],[Servertime]],-1,0)+1/24</f>
        <v>44872.583333333241</v>
      </c>
      <c r="CA42" s="320"/>
      <c r="CB42" s="315"/>
      <c r="CC42" s="315"/>
    </row>
    <row r="43" spans="1:82" x14ac:dyDescent="0.2">
      <c r="A43" s="225">
        <f ca="1">TblConstr[[#This Row],[Land]]</f>
        <v>250</v>
      </c>
      <c r="B43" s="145"/>
      <c r="C43" s="97">
        <f ca="1">TblProd[[#This Row],[Platinum]]</f>
        <v>316251</v>
      </c>
      <c r="D43" s="97">
        <f ca="1">TblProd[[#This Row],[Lumber]]</f>
        <v>42562</v>
      </c>
      <c r="E43" s="97">
        <f ca="1">TblProd[[#This Row],[Ore]]</f>
        <v>0</v>
      </c>
      <c r="F43" s="97">
        <f ca="1">TblProd[[#This Row],[Gems]]</f>
        <v>10000</v>
      </c>
      <c r="G43" s="157"/>
      <c r="H43" s="97">
        <f ca="1">TblMili[[#This Row],[Draftees]]</f>
        <v>100</v>
      </c>
      <c r="I43" s="183">
        <f ca="1">TblPop[[#This Row],[Employment]]</f>
        <v>0.78508341511285573</v>
      </c>
      <c r="J43" s="183">
        <f ca="1">TblPop[[#This Row],[Total]]/TblPop[[#This Row],[Net max]]</f>
        <v>0.99151823579304499</v>
      </c>
      <c r="K43" s="306">
        <f>TblRezone[[#This Row],[Hour]]</f>
        <v>40</v>
      </c>
      <c r="L43" s="307">
        <f ca="1">TblImps[[#This Row],[Real time]]</f>
        <v>44872.624999999905</v>
      </c>
      <c r="M43" s="62">
        <f>IF(ISERROR(TblImps[[#This Row],[algorithm]]),0,TblImps[[#This Row],[algorithm]]*1)</f>
        <v>0</v>
      </c>
      <c r="N43" s="97">
        <f ca="1">TblImps[[#This Row],[Land]]</f>
        <v>250</v>
      </c>
      <c r="O43" s="308" t="s">
        <v>4</v>
      </c>
      <c r="P43" s="309"/>
      <c r="Q43" s="308" t="s">
        <v>216</v>
      </c>
      <c r="R43" s="308" t="s">
        <v>7</v>
      </c>
      <c r="S43" s="309"/>
      <c r="T43" s="308" t="s">
        <v>216</v>
      </c>
      <c r="U43" s="308" t="s">
        <v>3</v>
      </c>
      <c r="V43" s="309"/>
      <c r="W43" s="308" t="s">
        <v>216</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44872.624999999905</v>
      </c>
      <c r="BZ43" s="317">
        <f ca="1">OFFSET(TblImps[[#This Row],[Servertime]],-1,0)+1/24</f>
        <v>44872.624999999905</v>
      </c>
      <c r="CA43" s="57"/>
      <c r="CB43" s="315"/>
      <c r="CC43" s="315"/>
    </row>
    <row r="44" spans="1:82" x14ac:dyDescent="0.2">
      <c r="A44" s="225">
        <f ca="1">TblConstr[[#This Row],[Land]]</f>
        <v>250</v>
      </c>
      <c r="B44" s="145"/>
      <c r="C44" s="97">
        <f ca="1">TblProd[[#This Row],[Platinum]]</f>
        <v>321921</v>
      </c>
      <c r="D44" s="97">
        <f ca="1">TblProd[[#This Row],[Lumber]]</f>
        <v>43136</v>
      </c>
      <c r="E44" s="97">
        <f ca="1">TblProd[[#This Row],[Ore]]</f>
        <v>0</v>
      </c>
      <c r="F44" s="97">
        <f ca="1">TblProd[[#This Row],[Gems]]</f>
        <v>10000</v>
      </c>
      <c r="G44" s="157"/>
      <c r="H44" s="97">
        <f ca="1">TblMili[[#This Row],[Draftees]]</f>
        <v>100</v>
      </c>
      <c r="I44" s="183">
        <f ca="1">TblPop[[#This Row],[Employment]]</f>
        <v>0.78508341511285573</v>
      </c>
      <c r="J44" s="183">
        <f ca="1">TblPop[[#This Row],[Total]]/TblPop[[#This Row],[Net max]]</f>
        <v>0.99151823579304499</v>
      </c>
      <c r="K44" s="306">
        <f>TblRezone[[#This Row],[Hour]]</f>
        <v>41</v>
      </c>
      <c r="L44" s="307">
        <f ca="1">TblImps[[#This Row],[Real time]]</f>
        <v>44872.66666666657</v>
      </c>
      <c r="M44" s="62">
        <f>IF(ISERROR(TblImps[[#This Row],[algorithm]]),0,TblImps[[#This Row],[algorithm]]*1)</f>
        <v>0</v>
      </c>
      <c r="N44" s="97">
        <f ca="1">TblImps[[#This Row],[Land]]</f>
        <v>250</v>
      </c>
      <c r="O44" s="308" t="s">
        <v>4</v>
      </c>
      <c r="P44" s="309"/>
      <c r="Q44" s="308" t="s">
        <v>216</v>
      </c>
      <c r="R44" s="308" t="s">
        <v>7</v>
      </c>
      <c r="S44" s="309"/>
      <c r="T44" s="308" t="s">
        <v>216</v>
      </c>
      <c r="U44" s="308" t="s">
        <v>3</v>
      </c>
      <c r="V44" s="309"/>
      <c r="W44" s="308" t="s">
        <v>216</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44872.66666666657</v>
      </c>
      <c r="BZ44" s="317">
        <f ca="1">OFFSET(TblImps[[#This Row],[Servertime]],-1,0)+1/24</f>
        <v>44872.66666666657</v>
      </c>
      <c r="CA44" s="57"/>
      <c r="CB44" s="315"/>
      <c r="CC44" s="315"/>
    </row>
    <row r="45" spans="1:82" x14ac:dyDescent="0.2">
      <c r="A45" s="225">
        <f ca="1">TblConstr[[#This Row],[Land]]</f>
        <v>250</v>
      </c>
      <c r="B45" s="145"/>
      <c r="C45" s="97">
        <f ca="1">TblProd[[#This Row],[Platinum]]</f>
        <v>327591</v>
      </c>
      <c r="D45" s="97">
        <f ca="1">TblProd[[#This Row],[Lumber]]</f>
        <v>43705</v>
      </c>
      <c r="E45" s="97">
        <f ca="1">TblProd[[#This Row],[Ore]]</f>
        <v>0</v>
      </c>
      <c r="F45" s="97">
        <f ca="1">TblProd[[#This Row],[Gems]]</f>
        <v>10000</v>
      </c>
      <c r="G45" s="157"/>
      <c r="H45" s="97">
        <f ca="1">TblMili[[#This Row],[Draftees]]</f>
        <v>100</v>
      </c>
      <c r="I45" s="183">
        <f ca="1">TblPop[[#This Row],[Employment]]</f>
        <v>0.78508341511285573</v>
      </c>
      <c r="J45" s="183">
        <f ca="1">TblPop[[#This Row],[Total]]/TblPop[[#This Row],[Net max]]</f>
        <v>0.99151823579304499</v>
      </c>
      <c r="K45" s="306">
        <f>TblRezone[[#This Row],[Hour]]</f>
        <v>42</v>
      </c>
      <c r="L45" s="307">
        <f ca="1">TblImps[[#This Row],[Real time]]</f>
        <v>44872.708333333234</v>
      </c>
      <c r="M45" s="62">
        <f>IF(ISERROR(TblImps[[#This Row],[algorithm]]),0,TblImps[[#This Row],[algorithm]]*1)</f>
        <v>0</v>
      </c>
      <c r="N45" s="97">
        <f ca="1">TblImps[[#This Row],[Land]]</f>
        <v>250</v>
      </c>
      <c r="O45" s="308" t="s">
        <v>4</v>
      </c>
      <c r="P45" s="309"/>
      <c r="Q45" s="308" t="s">
        <v>216</v>
      </c>
      <c r="R45" s="308" t="s">
        <v>7</v>
      </c>
      <c r="S45" s="309"/>
      <c r="T45" s="308" t="s">
        <v>216</v>
      </c>
      <c r="U45" s="308" t="s">
        <v>3</v>
      </c>
      <c r="V45" s="309"/>
      <c r="W45" s="308" t="s">
        <v>216</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44872.708333333234</v>
      </c>
      <c r="BZ45" s="317">
        <f ca="1">OFFSET(TblImps[[#This Row],[Servertime]],-1,0)+1/24</f>
        <v>44872.708333333234</v>
      </c>
      <c r="CA45" s="57"/>
      <c r="CB45" s="315"/>
      <c r="CC45" s="315"/>
    </row>
    <row r="46" spans="1:82" x14ac:dyDescent="0.2">
      <c r="A46" s="225">
        <f ca="1">TblConstr[[#This Row],[Land]]</f>
        <v>250</v>
      </c>
      <c r="B46" s="145"/>
      <c r="C46" s="97">
        <f ca="1">TblProd[[#This Row],[Platinum]]</f>
        <v>333261</v>
      </c>
      <c r="D46" s="97">
        <f ca="1">TblProd[[#This Row],[Lumber]]</f>
        <v>44268</v>
      </c>
      <c r="E46" s="97">
        <f ca="1">TblProd[[#This Row],[Ore]]</f>
        <v>0</v>
      </c>
      <c r="F46" s="97">
        <f ca="1">TblProd[[#This Row],[Gems]]</f>
        <v>10000</v>
      </c>
      <c r="G46" s="157"/>
      <c r="H46" s="97">
        <f ca="1">TblMili[[#This Row],[Draftees]]</f>
        <v>100</v>
      </c>
      <c r="I46" s="183">
        <f ca="1">TblPop[[#This Row],[Employment]]</f>
        <v>0.78508341511285573</v>
      </c>
      <c r="J46" s="183">
        <f ca="1">TblPop[[#This Row],[Total]]/TblPop[[#This Row],[Net max]]</f>
        <v>0.99151823579304499</v>
      </c>
      <c r="K46" s="306">
        <f>TblRezone[[#This Row],[Hour]]</f>
        <v>43</v>
      </c>
      <c r="L46" s="307">
        <f ca="1">TblImps[[#This Row],[Real time]]</f>
        <v>44872.749999999898</v>
      </c>
      <c r="M46" s="62">
        <f>IF(ISERROR(TblImps[[#This Row],[algorithm]]),0,TblImps[[#This Row],[algorithm]]*1)</f>
        <v>0</v>
      </c>
      <c r="N46" s="97">
        <f ca="1">TblImps[[#This Row],[Land]]</f>
        <v>250</v>
      </c>
      <c r="O46" s="308" t="s">
        <v>4</v>
      </c>
      <c r="P46" s="309"/>
      <c r="Q46" s="308" t="s">
        <v>216</v>
      </c>
      <c r="R46" s="308" t="s">
        <v>7</v>
      </c>
      <c r="S46" s="309"/>
      <c r="T46" s="308" t="s">
        <v>216</v>
      </c>
      <c r="U46" s="308" t="s">
        <v>3</v>
      </c>
      <c r="V46" s="309"/>
      <c r="W46" s="308" t="s">
        <v>216</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44872.749999999898</v>
      </c>
      <c r="BZ46" s="317">
        <f ca="1">OFFSET(TblImps[[#This Row],[Servertime]],-1,0)+1/24</f>
        <v>44872.749999999898</v>
      </c>
      <c r="CA46" s="57"/>
      <c r="CB46" s="315"/>
      <c r="CC46" s="315"/>
    </row>
    <row r="47" spans="1:82" x14ac:dyDescent="0.2">
      <c r="A47" s="225">
        <f ca="1">TblConstr[[#This Row],[Land]]</f>
        <v>250</v>
      </c>
      <c r="B47" s="145"/>
      <c r="C47" s="97">
        <f ca="1">TblProd[[#This Row],[Platinum]]</f>
        <v>338931</v>
      </c>
      <c r="D47" s="97">
        <f ca="1">TblProd[[#This Row],[Lumber]]</f>
        <v>44825</v>
      </c>
      <c r="E47" s="97">
        <f ca="1">TblProd[[#This Row],[Ore]]</f>
        <v>0</v>
      </c>
      <c r="F47" s="97">
        <f ca="1">TblProd[[#This Row],[Gems]]</f>
        <v>10000</v>
      </c>
      <c r="G47" s="157"/>
      <c r="H47" s="97">
        <f ca="1">TblMili[[#This Row],[Draftees]]</f>
        <v>100</v>
      </c>
      <c r="I47" s="183">
        <f ca="1">TblPop[[#This Row],[Employment]]</f>
        <v>0.78508341511285573</v>
      </c>
      <c r="J47" s="183">
        <f ca="1">TblPop[[#This Row],[Total]]/TblPop[[#This Row],[Net max]]</f>
        <v>0.99151823579304499</v>
      </c>
      <c r="K47" s="306">
        <f>TblRezone[[#This Row],[Hour]]</f>
        <v>44</v>
      </c>
      <c r="L47" s="307">
        <f ca="1">TblImps[[#This Row],[Real time]]</f>
        <v>44872.791666666562</v>
      </c>
      <c r="M47" s="62">
        <f>IF(ISERROR(TblImps[[#This Row],[algorithm]]),0,TblImps[[#This Row],[algorithm]]*1)</f>
        <v>0</v>
      </c>
      <c r="N47" s="97">
        <f ca="1">TblImps[[#This Row],[Land]]</f>
        <v>250</v>
      </c>
      <c r="O47" s="308" t="s">
        <v>4</v>
      </c>
      <c r="P47" s="309"/>
      <c r="Q47" s="308" t="s">
        <v>216</v>
      </c>
      <c r="R47" s="308" t="s">
        <v>7</v>
      </c>
      <c r="S47" s="309"/>
      <c r="T47" s="308" t="s">
        <v>216</v>
      </c>
      <c r="U47" s="308" t="s">
        <v>3</v>
      </c>
      <c r="V47" s="309"/>
      <c r="W47" s="308" t="s">
        <v>216</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44872.791666666562</v>
      </c>
      <c r="BZ47" s="317">
        <f ca="1">OFFSET(TblImps[[#This Row],[Servertime]],-1,0)+1/24</f>
        <v>44872.791666666562</v>
      </c>
      <c r="CA47" s="57"/>
      <c r="CB47" s="315"/>
      <c r="CC47" s="315"/>
    </row>
    <row r="48" spans="1:82" x14ac:dyDescent="0.2">
      <c r="A48" s="225">
        <f ca="1">TblConstr[[#This Row],[Land]]</f>
        <v>250</v>
      </c>
      <c r="B48" s="145"/>
      <c r="C48" s="97">
        <f ca="1">TblProd[[#This Row],[Platinum]]</f>
        <v>344601</v>
      </c>
      <c r="D48" s="97">
        <f ca="1">TblProd[[#This Row],[Lumber]]</f>
        <v>45377</v>
      </c>
      <c r="E48" s="97">
        <f ca="1">TblProd[[#This Row],[Ore]]</f>
        <v>0</v>
      </c>
      <c r="F48" s="97">
        <f ca="1">TblProd[[#This Row],[Gems]]</f>
        <v>10000</v>
      </c>
      <c r="G48" s="157"/>
      <c r="H48" s="97">
        <f ca="1">TblMili[[#This Row],[Draftees]]</f>
        <v>100</v>
      </c>
      <c r="I48" s="183">
        <f ca="1">TblPop[[#This Row],[Employment]]</f>
        <v>0.78508341511285573</v>
      </c>
      <c r="J48" s="183">
        <f ca="1">TblPop[[#This Row],[Total]]/TblPop[[#This Row],[Net max]]</f>
        <v>0.99151823579304499</v>
      </c>
      <c r="K48" s="306">
        <f>TblRezone[[#This Row],[Hour]]</f>
        <v>45</v>
      </c>
      <c r="L48" s="307">
        <f ca="1">TblImps[[#This Row],[Real time]]</f>
        <v>44872.833333333227</v>
      </c>
      <c r="M48" s="62">
        <f>IF(ISERROR(TblImps[[#This Row],[algorithm]]),0,TblImps[[#This Row],[algorithm]]*1)</f>
        <v>0</v>
      </c>
      <c r="N48" s="97">
        <f ca="1">TblImps[[#This Row],[Land]]</f>
        <v>250</v>
      </c>
      <c r="O48" s="308" t="s">
        <v>4</v>
      </c>
      <c r="P48" s="309"/>
      <c r="Q48" s="308" t="s">
        <v>216</v>
      </c>
      <c r="R48" s="308" t="s">
        <v>7</v>
      </c>
      <c r="S48" s="309"/>
      <c r="T48" s="308" t="s">
        <v>216</v>
      </c>
      <c r="U48" s="308" t="s">
        <v>3</v>
      </c>
      <c r="V48" s="309"/>
      <c r="W48" s="308" t="s">
        <v>216</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44872.833333333227</v>
      </c>
      <c r="BZ48" s="317">
        <f ca="1">OFFSET(TblImps[[#This Row],[Servertime]],-1,0)+1/24</f>
        <v>44872.833333333227</v>
      </c>
      <c r="CA48" s="57"/>
      <c r="CB48" s="315"/>
      <c r="CC48" s="315"/>
    </row>
    <row r="49" spans="1:81" x14ac:dyDescent="0.2">
      <c r="A49" s="225">
        <f ca="1">TblConstr[[#This Row],[Land]]</f>
        <v>250</v>
      </c>
      <c r="B49" s="145"/>
      <c r="C49" s="97">
        <f ca="1">TblProd[[#This Row],[Platinum]]</f>
        <v>350271</v>
      </c>
      <c r="D49" s="97">
        <f ca="1">TblProd[[#This Row],[Lumber]]</f>
        <v>45923</v>
      </c>
      <c r="E49" s="97">
        <f ca="1">TblProd[[#This Row],[Ore]]</f>
        <v>0</v>
      </c>
      <c r="F49" s="97">
        <f ca="1">TblProd[[#This Row],[Gems]]</f>
        <v>10000</v>
      </c>
      <c r="G49" s="157"/>
      <c r="H49" s="97">
        <f ca="1">TblMili[[#This Row],[Draftees]]</f>
        <v>100</v>
      </c>
      <c r="I49" s="183">
        <f ca="1">TblPop[[#This Row],[Employment]]</f>
        <v>0.78508341511285573</v>
      </c>
      <c r="J49" s="183">
        <f ca="1">TblPop[[#This Row],[Total]]/TblPop[[#This Row],[Net max]]</f>
        <v>0.99151823579304499</v>
      </c>
      <c r="K49" s="306">
        <f>TblRezone[[#This Row],[Hour]]</f>
        <v>46</v>
      </c>
      <c r="L49" s="307">
        <f ca="1">TblImps[[#This Row],[Real time]]</f>
        <v>44872.874999999891</v>
      </c>
      <c r="M49" s="62">
        <f>IF(ISERROR(TblImps[[#This Row],[algorithm]]),0,TblImps[[#This Row],[algorithm]]*1)</f>
        <v>0</v>
      </c>
      <c r="N49" s="97">
        <f ca="1">TblImps[[#This Row],[Land]]</f>
        <v>250</v>
      </c>
      <c r="O49" s="308" t="s">
        <v>4</v>
      </c>
      <c r="P49" s="309"/>
      <c r="Q49" s="308" t="s">
        <v>216</v>
      </c>
      <c r="R49" s="308" t="s">
        <v>7</v>
      </c>
      <c r="S49" s="309"/>
      <c r="T49" s="308" t="s">
        <v>216</v>
      </c>
      <c r="U49" s="308" t="s">
        <v>3</v>
      </c>
      <c r="V49" s="309"/>
      <c r="W49" s="308" t="s">
        <v>216</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44872.874999999891</v>
      </c>
      <c r="BZ49" s="317">
        <f ca="1">OFFSET(TblImps[[#This Row],[Servertime]],-1,0)+1/24</f>
        <v>44872.874999999891</v>
      </c>
      <c r="CA49" s="57"/>
      <c r="CB49" s="315"/>
      <c r="CC49" s="315"/>
    </row>
    <row r="50" spans="1:81" x14ac:dyDescent="0.2">
      <c r="A50" s="225">
        <f ca="1">TblConstr[[#This Row],[Land]]</f>
        <v>250</v>
      </c>
      <c r="B50" s="145"/>
      <c r="C50" s="97">
        <f ca="1">TblProd[[#This Row],[Platinum]]</f>
        <v>355941</v>
      </c>
      <c r="D50" s="97">
        <f ca="1">TblProd[[#This Row],[Lumber]]</f>
        <v>46464</v>
      </c>
      <c r="E50" s="97">
        <f ca="1">TblProd[[#This Row],[Ore]]</f>
        <v>0</v>
      </c>
      <c r="F50" s="97">
        <f ca="1">TblProd[[#This Row],[Gems]]</f>
        <v>10000</v>
      </c>
      <c r="G50" s="157"/>
      <c r="H50" s="97">
        <f ca="1">TblMili[[#This Row],[Draftees]]</f>
        <v>100</v>
      </c>
      <c r="I50" s="183">
        <f ca="1">TblPop[[#This Row],[Employment]]</f>
        <v>0.78508341511285573</v>
      </c>
      <c r="J50" s="183">
        <f ca="1">TblPop[[#This Row],[Total]]/TblPop[[#This Row],[Net max]]</f>
        <v>0.99151823579304499</v>
      </c>
      <c r="K50" s="306">
        <f>TblRezone[[#This Row],[Hour]]</f>
        <v>47</v>
      </c>
      <c r="L50" s="307">
        <f ca="1">TblImps[[#This Row],[Real time]]</f>
        <v>44872.916666666555</v>
      </c>
      <c r="M50" s="62">
        <f>IF(ISERROR(TblImps[[#This Row],[algorithm]]),0,TblImps[[#This Row],[algorithm]]*1)</f>
        <v>0</v>
      </c>
      <c r="N50" s="97">
        <f ca="1">TblImps[[#This Row],[Land]]</f>
        <v>250</v>
      </c>
      <c r="O50" s="308" t="s">
        <v>4</v>
      </c>
      <c r="P50" s="309"/>
      <c r="Q50" s="308" t="s">
        <v>216</v>
      </c>
      <c r="R50" s="308" t="s">
        <v>7</v>
      </c>
      <c r="S50" s="309"/>
      <c r="T50" s="308" t="s">
        <v>216</v>
      </c>
      <c r="U50" s="308" t="s">
        <v>3</v>
      </c>
      <c r="V50" s="309"/>
      <c r="W50" s="308" t="s">
        <v>216</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44872.916666666555</v>
      </c>
      <c r="BZ50" s="317">
        <f ca="1">OFFSET(TblImps[[#This Row],[Servertime]],-1,0)+1/24</f>
        <v>44872.916666666555</v>
      </c>
      <c r="CA50" s="57"/>
      <c r="CB50" s="315"/>
      <c r="CC50" s="315"/>
    </row>
    <row r="51" spans="1:81" x14ac:dyDescent="0.2">
      <c r="A51" s="225">
        <f ca="1">TblConstr[[#This Row],[Land]]</f>
        <v>250</v>
      </c>
      <c r="B51" s="145"/>
      <c r="C51" s="97">
        <f ca="1">TblProd[[#This Row],[Platinum]]</f>
        <v>361611</v>
      </c>
      <c r="D51" s="97">
        <f ca="1">TblProd[[#This Row],[Lumber]]</f>
        <v>46999</v>
      </c>
      <c r="E51" s="97">
        <f ca="1">TblProd[[#This Row],[Ore]]</f>
        <v>0</v>
      </c>
      <c r="F51" s="97">
        <f ca="1">TblProd[[#This Row],[Gems]]</f>
        <v>10000</v>
      </c>
      <c r="G51" s="157"/>
      <c r="H51" s="97">
        <f ca="1">TblMili[[#This Row],[Draftees]]</f>
        <v>100</v>
      </c>
      <c r="I51" s="183">
        <f ca="1">TblPop[[#This Row],[Employment]]</f>
        <v>0.78508341511285573</v>
      </c>
      <c r="J51" s="183">
        <f ca="1">TblPop[[#This Row],[Total]]/TblPop[[#This Row],[Net max]]</f>
        <v>0.99151823579304499</v>
      </c>
      <c r="K51" s="306">
        <f>TblRezone[[#This Row],[Hour]]</f>
        <v>48</v>
      </c>
      <c r="L51" s="307">
        <f ca="1">TblImps[[#This Row],[Real time]]</f>
        <v>44872.958333333219</v>
      </c>
      <c r="M51" s="62">
        <f>IF(ISERROR(TblImps[[#This Row],[algorithm]]),0,TblImps[[#This Row],[algorithm]]*1)</f>
        <v>0</v>
      </c>
      <c r="N51" s="97">
        <f ca="1">TblImps[[#This Row],[Land]]</f>
        <v>250</v>
      </c>
      <c r="O51" s="308" t="s">
        <v>4</v>
      </c>
      <c r="P51" s="309"/>
      <c r="Q51" s="308" t="s">
        <v>216</v>
      </c>
      <c r="R51" s="308" t="s">
        <v>7</v>
      </c>
      <c r="S51" s="309"/>
      <c r="T51" s="308" t="s">
        <v>216</v>
      </c>
      <c r="U51" s="308" t="s">
        <v>3</v>
      </c>
      <c r="V51" s="309"/>
      <c r="W51" s="308" t="s">
        <v>216</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44872.958333333219</v>
      </c>
      <c r="BZ51" s="317">
        <f ca="1">OFFSET(TblImps[[#This Row],[Servertime]],-1,0)+1/24</f>
        <v>44872.958333333219</v>
      </c>
      <c r="CA51" s="57"/>
      <c r="CB51" s="315"/>
      <c r="CC51" s="315"/>
    </row>
    <row r="52" spans="1:81" x14ac:dyDescent="0.2">
      <c r="A52" s="225">
        <f ca="1">TblConstr[[#This Row],[Land]]</f>
        <v>250</v>
      </c>
      <c r="B52" s="145"/>
      <c r="C52" s="97">
        <f ca="1">TblProd[[#This Row],[Platinum]]</f>
        <v>367281</v>
      </c>
      <c r="D52" s="97">
        <f ca="1">TblProd[[#This Row],[Lumber]]</f>
        <v>47529</v>
      </c>
      <c r="E52" s="97">
        <f ca="1">TblProd[[#This Row],[Ore]]</f>
        <v>0</v>
      </c>
      <c r="F52" s="97">
        <f ca="1">TblProd[[#This Row],[Gems]]</f>
        <v>10000</v>
      </c>
      <c r="G52" s="157"/>
      <c r="H52" s="97">
        <f ca="1">TblMili[[#This Row],[Draftees]]</f>
        <v>100</v>
      </c>
      <c r="I52" s="183">
        <f ca="1">TblPop[[#This Row],[Employment]]</f>
        <v>0.78508341511285573</v>
      </c>
      <c r="J52" s="183">
        <f ca="1">TblPop[[#This Row],[Total]]/TblPop[[#This Row],[Net max]]</f>
        <v>0.99151823579304499</v>
      </c>
      <c r="K52" s="306">
        <f>TblRezone[[#This Row],[Hour]]</f>
        <v>49</v>
      </c>
      <c r="L52" s="307">
        <f ca="1">TblImps[[#This Row],[Real time]]</f>
        <v>44872.999999999884</v>
      </c>
      <c r="M52" s="62">
        <f>IF(ISERROR(TblImps[[#This Row],[algorithm]]),0,TblImps[[#This Row],[algorithm]]*1)</f>
        <v>0</v>
      </c>
      <c r="N52" s="97">
        <f ca="1">TblImps[[#This Row],[Land]]</f>
        <v>250</v>
      </c>
      <c r="O52" s="308" t="s">
        <v>4</v>
      </c>
      <c r="P52" s="309"/>
      <c r="Q52" s="308" t="s">
        <v>216</v>
      </c>
      <c r="R52" s="308" t="s">
        <v>7</v>
      </c>
      <c r="S52" s="309"/>
      <c r="T52" s="308" t="s">
        <v>216</v>
      </c>
      <c r="U52" s="308" t="s">
        <v>3</v>
      </c>
      <c r="V52" s="309"/>
      <c r="W52" s="308" t="s">
        <v>216</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44872.999999999884</v>
      </c>
      <c r="BZ52" s="317">
        <f ca="1">OFFSET(TblImps[[#This Row],[Servertime]],-1,0)+1/24</f>
        <v>44872.999999999884</v>
      </c>
      <c r="CA52" s="57"/>
      <c r="CB52" s="315"/>
      <c r="CC52" s="315"/>
    </row>
    <row r="53" spans="1:81" x14ac:dyDescent="0.2">
      <c r="A53" s="225">
        <f ca="1">TblConstr[[#This Row],[Land]]</f>
        <v>250</v>
      </c>
      <c r="B53" s="145"/>
      <c r="C53" s="97">
        <f ca="1">TblProd[[#This Row],[Platinum]]</f>
        <v>372951</v>
      </c>
      <c r="D53" s="97">
        <f ca="1">TblProd[[#This Row],[Lumber]]</f>
        <v>48054</v>
      </c>
      <c r="E53" s="97">
        <f ca="1">TblProd[[#This Row],[Ore]]</f>
        <v>0</v>
      </c>
      <c r="F53" s="97">
        <f ca="1">TblProd[[#This Row],[Gems]]</f>
        <v>10000</v>
      </c>
      <c r="G53" s="157"/>
      <c r="H53" s="97">
        <f ca="1">TblMili[[#This Row],[Draftees]]</f>
        <v>100</v>
      </c>
      <c r="I53" s="183">
        <f ca="1">TblPop[[#This Row],[Employment]]</f>
        <v>0.78508341511285573</v>
      </c>
      <c r="J53" s="183">
        <f ca="1">TblPop[[#This Row],[Total]]/TblPop[[#This Row],[Net max]]</f>
        <v>0.99151823579304499</v>
      </c>
      <c r="K53" s="306">
        <f>TblRezone[[#This Row],[Hour]]</f>
        <v>50</v>
      </c>
      <c r="L53" s="307">
        <f ca="1">TblImps[[#This Row],[Real time]]</f>
        <v>44873.041666666548</v>
      </c>
      <c r="M53" s="62">
        <f>IF(ISERROR(TblImps[[#This Row],[algorithm]]),0,TblImps[[#This Row],[algorithm]]*1)</f>
        <v>0</v>
      </c>
      <c r="N53" s="97">
        <f ca="1">TblImps[[#This Row],[Land]]</f>
        <v>250</v>
      </c>
      <c r="O53" s="308" t="s">
        <v>4</v>
      </c>
      <c r="P53" s="309"/>
      <c r="Q53" s="308" t="s">
        <v>216</v>
      </c>
      <c r="R53" s="308" t="s">
        <v>7</v>
      </c>
      <c r="S53" s="309"/>
      <c r="T53" s="308" t="s">
        <v>216</v>
      </c>
      <c r="U53" s="308" t="s">
        <v>3</v>
      </c>
      <c r="V53" s="309"/>
      <c r="W53" s="308" t="s">
        <v>216</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44873.041666666548</v>
      </c>
      <c r="BZ53" s="317">
        <f ca="1">OFFSET(TblImps[[#This Row],[Servertime]],-1,0)+1/24</f>
        <v>44873.041666666548</v>
      </c>
      <c r="CA53" s="57"/>
      <c r="CB53" s="315"/>
      <c r="CC53" s="315"/>
    </row>
    <row r="54" spans="1:81" x14ac:dyDescent="0.2">
      <c r="A54" s="225">
        <f ca="1">TblConstr[[#This Row],[Land]]</f>
        <v>250</v>
      </c>
      <c r="B54" s="145"/>
      <c r="C54" s="97">
        <f ca="1">TblProd[[#This Row],[Platinum]]</f>
        <v>378621</v>
      </c>
      <c r="D54" s="97">
        <f ca="1">TblProd[[#This Row],[Lumber]]</f>
        <v>48573</v>
      </c>
      <c r="E54" s="97">
        <f ca="1">TblProd[[#This Row],[Ore]]</f>
        <v>0</v>
      </c>
      <c r="F54" s="97">
        <f ca="1">TblProd[[#This Row],[Gems]]</f>
        <v>10000</v>
      </c>
      <c r="G54" s="157"/>
      <c r="H54" s="97">
        <f ca="1">TblMili[[#This Row],[Draftees]]</f>
        <v>100</v>
      </c>
      <c r="I54" s="183">
        <f ca="1">TblPop[[#This Row],[Employment]]</f>
        <v>0.78508341511285573</v>
      </c>
      <c r="J54" s="183">
        <f ca="1">TblPop[[#This Row],[Total]]/TblPop[[#This Row],[Net max]]</f>
        <v>0.99151823579304499</v>
      </c>
      <c r="K54" s="306">
        <f>TblRezone[[#This Row],[Hour]]</f>
        <v>51</v>
      </c>
      <c r="L54" s="307">
        <f ca="1">TblImps[[#This Row],[Real time]]</f>
        <v>44873.083333333212</v>
      </c>
      <c r="M54" s="62">
        <f>IF(ISERROR(TblImps[[#This Row],[algorithm]]),0,TblImps[[#This Row],[algorithm]]*1)</f>
        <v>0</v>
      </c>
      <c r="N54" s="97">
        <f ca="1">TblImps[[#This Row],[Land]]</f>
        <v>250</v>
      </c>
      <c r="O54" s="308" t="s">
        <v>2</v>
      </c>
      <c r="P54" s="309"/>
      <c r="Q54" s="308" t="s">
        <v>216</v>
      </c>
      <c r="R54" s="308" t="s">
        <v>7</v>
      </c>
      <c r="S54" s="309"/>
      <c r="T54" s="308" t="s">
        <v>216</v>
      </c>
      <c r="U54" s="308" t="s">
        <v>3</v>
      </c>
      <c r="V54" s="309"/>
      <c r="W54" s="308" t="s">
        <v>216</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44873.083333333212</v>
      </c>
      <c r="BZ54" s="317">
        <f ca="1">OFFSET(TblImps[[#This Row],[Servertime]],-1,0)+1/24</f>
        <v>44873.083333333212</v>
      </c>
      <c r="CA54" s="57"/>
      <c r="CB54" s="315"/>
      <c r="CC54" s="315"/>
    </row>
    <row r="55" spans="1:81" x14ac:dyDescent="0.2">
      <c r="A55" s="225">
        <f ca="1">TblConstr[[#This Row],[Land]]</f>
        <v>250</v>
      </c>
      <c r="B55" s="145"/>
      <c r="C55" s="97">
        <f ca="1">TblProd[[#This Row],[Platinum]]</f>
        <v>384291</v>
      </c>
      <c r="D55" s="97">
        <f ca="1">TblProd[[#This Row],[Lumber]]</f>
        <v>49087</v>
      </c>
      <c r="E55" s="97">
        <f ca="1">TblProd[[#This Row],[Ore]]</f>
        <v>0</v>
      </c>
      <c r="F55" s="97">
        <f ca="1">TblProd[[#This Row],[Gems]]</f>
        <v>10000</v>
      </c>
      <c r="G55" s="157"/>
      <c r="H55" s="97">
        <f ca="1">TblMili[[#This Row],[Draftees]]</f>
        <v>100</v>
      </c>
      <c r="I55" s="183">
        <f ca="1">TblPop[[#This Row],[Employment]]</f>
        <v>0.78508341511285573</v>
      </c>
      <c r="J55" s="183">
        <f ca="1">TblPop[[#This Row],[Total]]/TblPop[[#This Row],[Net max]]</f>
        <v>0.99151823579304499</v>
      </c>
      <c r="K55" s="306">
        <f>TblRezone[[#This Row],[Hour]]</f>
        <v>52</v>
      </c>
      <c r="L55" s="307">
        <f ca="1">TblImps[[#This Row],[Real time]]</f>
        <v>44873.124999999876</v>
      </c>
      <c r="M55" s="62">
        <f>IF(ISERROR(TblImps[[#This Row],[algorithm]]),0,TblImps[[#This Row],[algorithm]]*1)</f>
        <v>0</v>
      </c>
      <c r="N55" s="97">
        <f ca="1">TblImps[[#This Row],[Land]]</f>
        <v>250</v>
      </c>
      <c r="O55" s="308" t="s">
        <v>4</v>
      </c>
      <c r="P55" s="309"/>
      <c r="Q55" s="308" t="s">
        <v>216</v>
      </c>
      <c r="R55" s="308" t="s">
        <v>7</v>
      </c>
      <c r="S55" s="309"/>
      <c r="T55" s="308" t="s">
        <v>216</v>
      </c>
      <c r="U55" s="308" t="s">
        <v>3</v>
      </c>
      <c r="V55" s="309"/>
      <c r="W55" s="308" t="s">
        <v>216</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44873.124999999876</v>
      </c>
      <c r="BZ55" s="317">
        <f ca="1">OFFSET(TblImps[[#This Row],[Servertime]],-1,0)+1/24</f>
        <v>44873.124999999876</v>
      </c>
      <c r="CA55" s="57"/>
      <c r="CB55" s="315"/>
      <c r="CC55" s="315"/>
    </row>
    <row r="56" spans="1:81" x14ac:dyDescent="0.2">
      <c r="A56" s="225">
        <f ca="1">TblConstr[[#This Row],[Land]]</f>
        <v>250</v>
      </c>
      <c r="B56" s="145"/>
      <c r="C56" s="97">
        <f ca="1">TblProd[[#This Row],[Platinum]]</f>
        <v>389961</v>
      </c>
      <c r="D56" s="97">
        <f ca="1">TblProd[[#This Row],[Lumber]]</f>
        <v>49596</v>
      </c>
      <c r="E56" s="97">
        <f ca="1">TblProd[[#This Row],[Ore]]</f>
        <v>0</v>
      </c>
      <c r="F56" s="97">
        <f ca="1">TblProd[[#This Row],[Gems]]</f>
        <v>10000</v>
      </c>
      <c r="G56" s="157"/>
      <c r="H56" s="97">
        <f ca="1">TblMili[[#This Row],[Draftees]]</f>
        <v>100</v>
      </c>
      <c r="I56" s="183">
        <f ca="1">TblPop[[#This Row],[Employment]]</f>
        <v>0.78508341511285573</v>
      </c>
      <c r="J56" s="183">
        <f ca="1">TblPop[[#This Row],[Total]]/TblPop[[#This Row],[Net max]]</f>
        <v>0.99151823579304499</v>
      </c>
      <c r="K56" s="306">
        <f>TblRezone[[#This Row],[Hour]]</f>
        <v>53</v>
      </c>
      <c r="L56" s="307">
        <f ca="1">TblImps[[#This Row],[Real time]]</f>
        <v>44873.166666666541</v>
      </c>
      <c r="M56" s="62">
        <f>IF(ISERROR(TblImps[[#This Row],[algorithm]]),0,TblImps[[#This Row],[algorithm]]*1)</f>
        <v>0</v>
      </c>
      <c r="N56" s="97">
        <f ca="1">TblImps[[#This Row],[Land]]</f>
        <v>250</v>
      </c>
      <c r="O56" s="308" t="s">
        <v>4</v>
      </c>
      <c r="P56" s="309"/>
      <c r="Q56" s="308" t="s">
        <v>216</v>
      </c>
      <c r="R56" s="308" t="s">
        <v>7</v>
      </c>
      <c r="S56" s="309"/>
      <c r="T56" s="308" t="s">
        <v>216</v>
      </c>
      <c r="U56" s="308" t="s">
        <v>3</v>
      </c>
      <c r="V56" s="309"/>
      <c r="W56" s="308" t="s">
        <v>216</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44873.166666666541</v>
      </c>
      <c r="BZ56" s="317">
        <f ca="1">OFFSET(TblImps[[#This Row],[Servertime]],-1,0)+1/24</f>
        <v>44873.166666666541</v>
      </c>
      <c r="CA56" s="57"/>
      <c r="CB56" s="315"/>
      <c r="CC56" s="315"/>
    </row>
    <row r="57" spans="1:81" x14ac:dyDescent="0.2">
      <c r="A57" s="225">
        <f ca="1">TblConstr[[#This Row],[Land]]</f>
        <v>250</v>
      </c>
      <c r="B57" s="145"/>
      <c r="C57" s="97">
        <f ca="1">TblProd[[#This Row],[Platinum]]</f>
        <v>395631</v>
      </c>
      <c r="D57" s="97">
        <f ca="1">TblProd[[#This Row],[Lumber]]</f>
        <v>50100</v>
      </c>
      <c r="E57" s="97">
        <f ca="1">TblProd[[#This Row],[Ore]]</f>
        <v>0</v>
      </c>
      <c r="F57" s="97">
        <f ca="1">TblProd[[#This Row],[Gems]]</f>
        <v>10000</v>
      </c>
      <c r="G57" s="157"/>
      <c r="H57" s="97">
        <f ca="1">TblMili[[#This Row],[Draftees]]</f>
        <v>100</v>
      </c>
      <c r="I57" s="183">
        <f ca="1">TblPop[[#This Row],[Employment]]</f>
        <v>0.78508341511285573</v>
      </c>
      <c r="J57" s="183">
        <f ca="1">TblPop[[#This Row],[Total]]/TblPop[[#This Row],[Net max]]</f>
        <v>0.99151823579304499</v>
      </c>
      <c r="K57" s="306">
        <f>TblRezone[[#This Row],[Hour]]</f>
        <v>54</v>
      </c>
      <c r="L57" s="307">
        <f ca="1">TblImps[[#This Row],[Real time]]</f>
        <v>44873.208333333205</v>
      </c>
      <c r="M57" s="62">
        <f>IF(ISERROR(TblImps[[#This Row],[algorithm]]),0,TblImps[[#This Row],[algorithm]]*1)</f>
        <v>0</v>
      </c>
      <c r="N57" s="97">
        <f ca="1">TblImps[[#This Row],[Land]]</f>
        <v>250</v>
      </c>
      <c r="O57" s="308" t="s">
        <v>4</v>
      </c>
      <c r="P57" s="309"/>
      <c r="Q57" s="308" t="s">
        <v>216</v>
      </c>
      <c r="R57" s="308" t="s">
        <v>7</v>
      </c>
      <c r="S57" s="309"/>
      <c r="T57" s="308" t="s">
        <v>216</v>
      </c>
      <c r="U57" s="308" t="s">
        <v>3</v>
      </c>
      <c r="V57" s="309"/>
      <c r="W57" s="308" t="s">
        <v>216</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44873.208333333205</v>
      </c>
      <c r="BZ57" s="317">
        <f ca="1">OFFSET(TblImps[[#This Row],[Servertime]],-1,0)+1/24</f>
        <v>44873.208333333205</v>
      </c>
      <c r="CA57" s="57"/>
      <c r="CB57" s="315"/>
      <c r="CC57" s="315"/>
    </row>
    <row r="58" spans="1:81" x14ac:dyDescent="0.2">
      <c r="A58" s="225">
        <f ca="1">TblConstr[[#This Row],[Land]]</f>
        <v>250</v>
      </c>
      <c r="B58" s="145"/>
      <c r="C58" s="97">
        <f ca="1">TblProd[[#This Row],[Platinum]]</f>
        <v>401301</v>
      </c>
      <c r="D58" s="97">
        <f ca="1">TblProd[[#This Row],[Lumber]]</f>
        <v>50599</v>
      </c>
      <c r="E58" s="97">
        <f ca="1">TblProd[[#This Row],[Ore]]</f>
        <v>0</v>
      </c>
      <c r="F58" s="97">
        <f ca="1">TblProd[[#This Row],[Gems]]</f>
        <v>10000</v>
      </c>
      <c r="G58" s="157"/>
      <c r="H58" s="97">
        <f ca="1">TblMili[[#This Row],[Draftees]]</f>
        <v>100</v>
      </c>
      <c r="I58" s="183">
        <f ca="1">TblPop[[#This Row],[Employment]]</f>
        <v>0.78508341511285573</v>
      </c>
      <c r="J58" s="183">
        <f ca="1">TblPop[[#This Row],[Total]]/TblPop[[#This Row],[Net max]]</f>
        <v>0.99151823579304499</v>
      </c>
      <c r="K58" s="306">
        <f>TblRezone[[#This Row],[Hour]]</f>
        <v>55</v>
      </c>
      <c r="L58" s="307">
        <f ca="1">TblImps[[#This Row],[Real time]]</f>
        <v>44873.249999999869</v>
      </c>
      <c r="M58" s="62">
        <f>IF(ISERROR(TblImps[[#This Row],[algorithm]]),0,TblImps[[#This Row],[algorithm]]*1)</f>
        <v>0</v>
      </c>
      <c r="N58" s="97">
        <f ca="1">TblImps[[#This Row],[Land]]</f>
        <v>250</v>
      </c>
      <c r="O58" s="308" t="s">
        <v>4</v>
      </c>
      <c r="P58" s="309"/>
      <c r="Q58" s="308" t="s">
        <v>216</v>
      </c>
      <c r="R58" s="308" t="s">
        <v>7</v>
      </c>
      <c r="S58" s="309"/>
      <c r="T58" s="308" t="s">
        <v>216</v>
      </c>
      <c r="U58" s="308" t="s">
        <v>3</v>
      </c>
      <c r="V58" s="309"/>
      <c r="W58" s="308" t="s">
        <v>216</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44873.249999999869</v>
      </c>
      <c r="BZ58" s="317">
        <f ca="1">OFFSET(TblImps[[#This Row],[Servertime]],-1,0)+1/24</f>
        <v>44873.249999999869</v>
      </c>
      <c r="CA58" s="57"/>
      <c r="CB58" s="315"/>
      <c r="CC58" s="315"/>
    </row>
    <row r="59" spans="1:81" x14ac:dyDescent="0.2">
      <c r="A59" s="225">
        <f ca="1">TblConstr[[#This Row],[Land]]</f>
        <v>250</v>
      </c>
      <c r="B59" s="145"/>
      <c r="C59" s="97">
        <f ca="1">TblProd[[#This Row],[Platinum]]</f>
        <v>406971</v>
      </c>
      <c r="D59" s="97">
        <f ca="1">TblProd[[#This Row],[Lumber]]</f>
        <v>51093</v>
      </c>
      <c r="E59" s="97">
        <f ca="1">TblProd[[#This Row],[Ore]]</f>
        <v>0</v>
      </c>
      <c r="F59" s="97">
        <f ca="1">TblProd[[#This Row],[Gems]]</f>
        <v>10000</v>
      </c>
      <c r="G59" s="157"/>
      <c r="H59" s="97">
        <f ca="1">TblMili[[#This Row],[Draftees]]</f>
        <v>100</v>
      </c>
      <c r="I59" s="183">
        <f ca="1">TblPop[[#This Row],[Employment]]</f>
        <v>0.78508341511285573</v>
      </c>
      <c r="J59" s="183">
        <f ca="1">TblPop[[#This Row],[Total]]/TblPop[[#This Row],[Net max]]</f>
        <v>0.99151823579304499</v>
      </c>
      <c r="K59" s="306">
        <f>TblRezone[[#This Row],[Hour]]</f>
        <v>56</v>
      </c>
      <c r="L59" s="307">
        <f ca="1">TblImps[[#This Row],[Real time]]</f>
        <v>44873.291666666533</v>
      </c>
      <c r="M59" s="62">
        <f>IF(ISERROR(TblImps[[#This Row],[algorithm]]),0,TblImps[[#This Row],[algorithm]]*1)</f>
        <v>0</v>
      </c>
      <c r="N59" s="97">
        <f ca="1">TblImps[[#This Row],[Land]]</f>
        <v>250</v>
      </c>
      <c r="O59" s="308" t="s">
        <v>4</v>
      </c>
      <c r="P59" s="309"/>
      <c r="Q59" s="308" t="s">
        <v>216</v>
      </c>
      <c r="R59" s="308" t="s">
        <v>7</v>
      </c>
      <c r="S59" s="309"/>
      <c r="T59" s="308" t="s">
        <v>216</v>
      </c>
      <c r="U59" s="308" t="s">
        <v>3</v>
      </c>
      <c r="V59" s="309"/>
      <c r="W59" s="308" t="s">
        <v>216</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44873.291666666533</v>
      </c>
      <c r="BZ59" s="317">
        <f ca="1">OFFSET(TblImps[[#This Row],[Servertime]],-1,0)+1/24</f>
        <v>44873.291666666533</v>
      </c>
      <c r="CA59" s="57"/>
      <c r="CB59" s="315"/>
      <c r="CC59" s="315"/>
    </row>
    <row r="60" spans="1:81" x14ac:dyDescent="0.2">
      <c r="A60" s="225">
        <f ca="1">TblConstr[[#This Row],[Land]]</f>
        <v>250</v>
      </c>
      <c r="B60" s="145"/>
      <c r="C60" s="97">
        <f ca="1">TblProd[[#This Row],[Platinum]]</f>
        <v>412641</v>
      </c>
      <c r="D60" s="97">
        <f ca="1">TblProd[[#This Row],[Lumber]]</f>
        <v>51582</v>
      </c>
      <c r="E60" s="97">
        <f ca="1">TblProd[[#This Row],[Ore]]</f>
        <v>0</v>
      </c>
      <c r="F60" s="97">
        <f ca="1">TblProd[[#This Row],[Gems]]</f>
        <v>10000</v>
      </c>
      <c r="G60" s="157"/>
      <c r="H60" s="97">
        <f ca="1">TblMili[[#This Row],[Draftees]]</f>
        <v>100</v>
      </c>
      <c r="I60" s="183">
        <f ca="1">TblPop[[#This Row],[Employment]]</f>
        <v>0.78508341511285573</v>
      </c>
      <c r="J60" s="183">
        <f ca="1">TblPop[[#This Row],[Total]]/TblPop[[#This Row],[Net max]]</f>
        <v>0.99151823579304499</v>
      </c>
      <c r="K60" s="306">
        <f>TblRezone[[#This Row],[Hour]]</f>
        <v>57</v>
      </c>
      <c r="L60" s="307">
        <f ca="1">TblImps[[#This Row],[Real time]]</f>
        <v>44873.333333333198</v>
      </c>
      <c r="M60" s="62">
        <f>IF(ISERROR(TblImps[[#This Row],[algorithm]]),0,TblImps[[#This Row],[algorithm]]*1)</f>
        <v>0</v>
      </c>
      <c r="N60" s="97">
        <f ca="1">TblImps[[#This Row],[Land]]</f>
        <v>250</v>
      </c>
      <c r="O60" s="308" t="s">
        <v>4</v>
      </c>
      <c r="P60" s="309"/>
      <c r="Q60" s="308" t="s">
        <v>216</v>
      </c>
      <c r="R60" s="308" t="s">
        <v>7</v>
      </c>
      <c r="S60" s="309"/>
      <c r="T60" s="308" t="s">
        <v>216</v>
      </c>
      <c r="U60" s="308" t="s">
        <v>3</v>
      </c>
      <c r="V60" s="309"/>
      <c r="W60" s="308" t="s">
        <v>216</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44873.333333333198</v>
      </c>
      <c r="BZ60" s="317">
        <f ca="1">OFFSET(TblImps[[#This Row],[Servertime]],-1,0)+1/24</f>
        <v>44873.333333333198</v>
      </c>
      <c r="CA60" s="57"/>
      <c r="CB60" s="315"/>
      <c r="CC60" s="315"/>
    </row>
    <row r="61" spans="1:81" x14ac:dyDescent="0.2">
      <c r="A61" s="225">
        <f ca="1">TblConstr[[#This Row],[Land]]</f>
        <v>250</v>
      </c>
      <c r="B61" s="145"/>
      <c r="C61" s="97">
        <f ca="1">TblProd[[#This Row],[Platinum]]</f>
        <v>418311</v>
      </c>
      <c r="D61" s="97">
        <f ca="1">TblProd[[#This Row],[Lumber]]</f>
        <v>52066</v>
      </c>
      <c r="E61" s="97">
        <f ca="1">TblProd[[#This Row],[Ore]]</f>
        <v>0</v>
      </c>
      <c r="F61" s="97">
        <f ca="1">TblProd[[#This Row],[Gems]]</f>
        <v>10000</v>
      </c>
      <c r="G61" s="157"/>
      <c r="H61" s="97">
        <f ca="1">TblMili[[#This Row],[Draftees]]</f>
        <v>100</v>
      </c>
      <c r="I61" s="183">
        <f ca="1">TblPop[[#This Row],[Employment]]</f>
        <v>0.78508341511285573</v>
      </c>
      <c r="J61" s="183">
        <f ca="1">TblPop[[#This Row],[Total]]/TblPop[[#This Row],[Net max]]</f>
        <v>0.99151823579304499</v>
      </c>
      <c r="K61" s="306">
        <f>TblRezone[[#This Row],[Hour]]</f>
        <v>58</v>
      </c>
      <c r="L61" s="307">
        <f ca="1">TblImps[[#This Row],[Real time]]</f>
        <v>44873.374999999862</v>
      </c>
      <c r="M61" s="62">
        <f>IF(ISERROR(TblImps[[#This Row],[algorithm]]),0,TblImps[[#This Row],[algorithm]]*1)</f>
        <v>0</v>
      </c>
      <c r="N61" s="97">
        <f ca="1">TblImps[[#This Row],[Land]]</f>
        <v>250</v>
      </c>
      <c r="O61" s="308" t="s">
        <v>4</v>
      </c>
      <c r="P61" s="309"/>
      <c r="Q61" s="308" t="s">
        <v>216</v>
      </c>
      <c r="R61" s="308" t="s">
        <v>7</v>
      </c>
      <c r="S61" s="309"/>
      <c r="T61" s="308" t="s">
        <v>216</v>
      </c>
      <c r="U61" s="308" t="s">
        <v>3</v>
      </c>
      <c r="V61" s="309"/>
      <c r="W61" s="308" t="s">
        <v>216</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44873.374999999862</v>
      </c>
      <c r="BZ61" s="317">
        <f ca="1">OFFSET(TblImps[[#This Row],[Servertime]],-1,0)+1/24</f>
        <v>44873.374999999862</v>
      </c>
      <c r="CA61" s="57"/>
      <c r="CB61" s="315"/>
      <c r="CC61" s="315"/>
    </row>
    <row r="62" spans="1:81" x14ac:dyDescent="0.2">
      <c r="A62" s="225">
        <f ca="1">TblConstr[[#This Row],[Land]]</f>
        <v>250</v>
      </c>
      <c r="B62" s="145"/>
      <c r="C62" s="97">
        <f ca="1">TblProd[[#This Row],[Platinum]]</f>
        <v>423981</v>
      </c>
      <c r="D62" s="97">
        <f ca="1">TblProd[[#This Row],[Lumber]]</f>
        <v>52545</v>
      </c>
      <c r="E62" s="97">
        <f ca="1">TblProd[[#This Row],[Ore]]</f>
        <v>0</v>
      </c>
      <c r="F62" s="97">
        <f ca="1">TblProd[[#This Row],[Gems]]</f>
        <v>10000</v>
      </c>
      <c r="G62" s="157"/>
      <c r="H62" s="97">
        <f ca="1">TblMili[[#This Row],[Draftees]]</f>
        <v>100</v>
      </c>
      <c r="I62" s="183">
        <f ca="1">TblPop[[#This Row],[Employment]]</f>
        <v>0.78508341511285573</v>
      </c>
      <c r="J62" s="183">
        <f ca="1">TblPop[[#This Row],[Total]]/TblPop[[#This Row],[Net max]]</f>
        <v>0.99151823579304499</v>
      </c>
      <c r="K62" s="306">
        <f>TblRezone[[#This Row],[Hour]]</f>
        <v>59</v>
      </c>
      <c r="L62" s="307">
        <f ca="1">TblImps[[#This Row],[Real time]]</f>
        <v>44873.416666666526</v>
      </c>
      <c r="M62" s="62">
        <f>IF(ISERROR(TblImps[[#This Row],[algorithm]]),0,TblImps[[#This Row],[algorithm]]*1)</f>
        <v>0</v>
      </c>
      <c r="N62" s="97">
        <f ca="1">TblImps[[#This Row],[Land]]</f>
        <v>250</v>
      </c>
      <c r="O62" s="308" t="s">
        <v>4</v>
      </c>
      <c r="P62" s="309"/>
      <c r="Q62" s="308" t="s">
        <v>216</v>
      </c>
      <c r="R62" s="308" t="s">
        <v>7</v>
      </c>
      <c r="S62" s="309"/>
      <c r="T62" s="308" t="s">
        <v>216</v>
      </c>
      <c r="U62" s="308" t="s">
        <v>3</v>
      </c>
      <c r="V62" s="309"/>
      <c r="W62" s="308" t="s">
        <v>216</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44873.416666666526</v>
      </c>
      <c r="BZ62" s="317">
        <f ca="1">OFFSET(TblImps[[#This Row],[Servertime]],-1,0)+1/24</f>
        <v>44873.416666666526</v>
      </c>
      <c r="CA62" s="57"/>
      <c r="CB62" s="315"/>
      <c r="CC62" s="315"/>
    </row>
    <row r="63" spans="1:81" x14ac:dyDescent="0.2">
      <c r="A63" s="225">
        <f ca="1">TblConstr[[#This Row],[Land]]</f>
        <v>250</v>
      </c>
      <c r="B63" s="145"/>
      <c r="C63" s="97">
        <f ca="1">TblProd[[#This Row],[Platinum]]</f>
        <v>429651</v>
      </c>
      <c r="D63" s="97">
        <f ca="1">TblProd[[#This Row],[Lumber]]</f>
        <v>53020</v>
      </c>
      <c r="E63" s="97">
        <f ca="1">TblProd[[#This Row],[Ore]]</f>
        <v>0</v>
      </c>
      <c r="F63" s="97">
        <f ca="1">TblProd[[#This Row],[Gems]]</f>
        <v>10000</v>
      </c>
      <c r="G63" s="157"/>
      <c r="H63" s="97">
        <f ca="1">TblMili[[#This Row],[Draftees]]</f>
        <v>100</v>
      </c>
      <c r="I63" s="183">
        <f ca="1">TblPop[[#This Row],[Employment]]</f>
        <v>0.78508341511285573</v>
      </c>
      <c r="J63" s="183">
        <f ca="1">TblPop[[#This Row],[Total]]/TblPop[[#This Row],[Net max]]</f>
        <v>0.99151823579304499</v>
      </c>
      <c r="K63" s="306">
        <f>TblRezone[[#This Row],[Hour]]</f>
        <v>60</v>
      </c>
      <c r="L63" s="307">
        <f ca="1">TblImps[[#This Row],[Real time]]</f>
        <v>44873.45833333319</v>
      </c>
      <c r="M63" s="62">
        <f>IF(ISERROR(TblImps[[#This Row],[algorithm]]),0,TblImps[[#This Row],[algorithm]]*1)</f>
        <v>0</v>
      </c>
      <c r="N63" s="97">
        <f ca="1">TblImps[[#This Row],[Land]]</f>
        <v>250</v>
      </c>
      <c r="O63" s="308" t="s">
        <v>4</v>
      </c>
      <c r="P63" s="309"/>
      <c r="Q63" s="308" t="s">
        <v>216</v>
      </c>
      <c r="R63" s="308" t="s">
        <v>7</v>
      </c>
      <c r="S63" s="309"/>
      <c r="T63" s="308" t="s">
        <v>216</v>
      </c>
      <c r="U63" s="308" t="s">
        <v>3</v>
      </c>
      <c r="V63" s="309"/>
      <c r="W63" s="308" t="s">
        <v>216</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44873.45833333319</v>
      </c>
      <c r="BZ63" s="317">
        <f ca="1">OFFSET(TblImps[[#This Row],[Servertime]],-1,0)+1/24</f>
        <v>44873.45833333319</v>
      </c>
      <c r="CA63" s="57"/>
      <c r="CB63" s="315"/>
      <c r="CC63" s="315"/>
    </row>
    <row r="64" spans="1:81" x14ac:dyDescent="0.2">
      <c r="A64" s="225">
        <f ca="1">TblConstr[[#This Row],[Land]]</f>
        <v>250</v>
      </c>
      <c r="B64" s="145"/>
      <c r="C64" s="97">
        <f ca="1">TblProd[[#This Row],[Platinum]]</f>
        <v>435321</v>
      </c>
      <c r="D64" s="97">
        <f ca="1">TblProd[[#This Row],[Lumber]]</f>
        <v>53490</v>
      </c>
      <c r="E64" s="97">
        <f ca="1">TblProd[[#This Row],[Ore]]</f>
        <v>0</v>
      </c>
      <c r="F64" s="97">
        <f ca="1">TblProd[[#This Row],[Gems]]</f>
        <v>10000</v>
      </c>
      <c r="G64" s="157"/>
      <c r="H64" s="97">
        <f ca="1">TblMili[[#This Row],[Draftees]]</f>
        <v>100</v>
      </c>
      <c r="I64" s="183">
        <f ca="1">TblPop[[#This Row],[Employment]]</f>
        <v>0.78508341511285573</v>
      </c>
      <c r="J64" s="183">
        <f ca="1">TblPop[[#This Row],[Total]]/TblPop[[#This Row],[Net max]]</f>
        <v>0.99151823579304499</v>
      </c>
      <c r="K64" s="306">
        <f>TblRezone[[#This Row],[Hour]]</f>
        <v>61</v>
      </c>
      <c r="L64" s="307">
        <f ca="1">TblImps[[#This Row],[Real time]]</f>
        <v>44873.499999999854</v>
      </c>
      <c r="M64" s="62">
        <f>IF(ISERROR(TblImps[[#This Row],[algorithm]]),0,TblImps[[#This Row],[algorithm]]*1)</f>
        <v>0</v>
      </c>
      <c r="N64" s="97">
        <f ca="1">TblImps[[#This Row],[Land]]</f>
        <v>250</v>
      </c>
      <c r="O64" s="308" t="s">
        <v>4</v>
      </c>
      <c r="P64" s="309"/>
      <c r="Q64" s="308" t="s">
        <v>216</v>
      </c>
      <c r="R64" s="308" t="s">
        <v>7</v>
      </c>
      <c r="S64" s="309"/>
      <c r="T64" s="308" t="s">
        <v>216</v>
      </c>
      <c r="U64" s="308" t="s">
        <v>3</v>
      </c>
      <c r="V64" s="309"/>
      <c r="W64" s="308" t="s">
        <v>216</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44873.499999999854</v>
      </c>
      <c r="BZ64" s="317">
        <f ca="1">OFFSET(TblImps[[#This Row],[Servertime]],-1,0)+1/24</f>
        <v>44873.499999999854</v>
      </c>
      <c r="CA64" s="57"/>
      <c r="CB64" s="315"/>
      <c r="CC64" s="315"/>
    </row>
    <row r="65" spans="1:84" x14ac:dyDescent="0.2">
      <c r="A65" s="225">
        <f ca="1">TblConstr[[#This Row],[Land]]</f>
        <v>250</v>
      </c>
      <c r="B65" s="145"/>
      <c r="C65" s="97">
        <f ca="1">TblProd[[#This Row],[Platinum]]</f>
        <v>440991</v>
      </c>
      <c r="D65" s="97">
        <f ca="1">TblProd[[#This Row],[Lumber]]</f>
        <v>53955</v>
      </c>
      <c r="E65" s="97">
        <f ca="1">TblProd[[#This Row],[Ore]]</f>
        <v>0</v>
      </c>
      <c r="F65" s="97">
        <f ca="1">TblProd[[#This Row],[Gems]]</f>
        <v>10000</v>
      </c>
      <c r="G65" s="157"/>
      <c r="H65" s="97">
        <f ca="1">TblMili[[#This Row],[Draftees]]</f>
        <v>100</v>
      </c>
      <c r="I65" s="183">
        <f ca="1">TblPop[[#This Row],[Employment]]</f>
        <v>0.78508341511285573</v>
      </c>
      <c r="J65" s="183">
        <f ca="1">TblPop[[#This Row],[Total]]/TblPop[[#This Row],[Net max]]</f>
        <v>0.99151823579304499</v>
      </c>
      <c r="K65" s="306">
        <f>TblRezone[[#This Row],[Hour]]</f>
        <v>62</v>
      </c>
      <c r="L65" s="307">
        <f ca="1">TblImps[[#This Row],[Real time]]</f>
        <v>44873.541666666519</v>
      </c>
      <c r="M65" s="62">
        <f>IF(ISERROR(TblImps[[#This Row],[algorithm]]),0,TblImps[[#This Row],[algorithm]]*1)</f>
        <v>0</v>
      </c>
      <c r="N65" s="97">
        <f ca="1">TblImps[[#This Row],[Land]]</f>
        <v>250</v>
      </c>
      <c r="O65" s="308" t="s">
        <v>4</v>
      </c>
      <c r="P65" s="309"/>
      <c r="Q65" s="308" t="s">
        <v>216</v>
      </c>
      <c r="R65" s="308" t="s">
        <v>7</v>
      </c>
      <c r="S65" s="309"/>
      <c r="T65" s="308" t="s">
        <v>216</v>
      </c>
      <c r="U65" s="308" t="s">
        <v>3</v>
      </c>
      <c r="V65" s="309"/>
      <c r="W65" s="308" t="s">
        <v>216</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44873.541666666519</v>
      </c>
      <c r="BZ65" s="317">
        <f ca="1">OFFSET(TblImps[[#This Row],[Servertime]],-1,0)+1/24</f>
        <v>44873.541666666519</v>
      </c>
      <c r="CA65" s="57"/>
      <c r="CB65" s="315"/>
      <c r="CC65" s="315"/>
    </row>
    <row r="66" spans="1:84" x14ac:dyDescent="0.2">
      <c r="A66" s="225">
        <f ca="1">TblConstr[[#This Row],[Land]]</f>
        <v>250</v>
      </c>
      <c r="B66" s="145"/>
      <c r="C66" s="97">
        <f ca="1">TblProd[[#This Row],[Platinum]]</f>
        <v>446661</v>
      </c>
      <c r="D66" s="97">
        <f ca="1">TblProd[[#This Row],[Lumber]]</f>
        <v>54415</v>
      </c>
      <c r="E66" s="97">
        <f ca="1">TblProd[[#This Row],[Ore]]</f>
        <v>0</v>
      </c>
      <c r="F66" s="97">
        <f ca="1">TblProd[[#This Row],[Gems]]</f>
        <v>10000</v>
      </c>
      <c r="G66" s="157"/>
      <c r="H66" s="97">
        <f ca="1">TblMili[[#This Row],[Draftees]]</f>
        <v>100</v>
      </c>
      <c r="I66" s="183">
        <f ca="1">TblPop[[#This Row],[Employment]]</f>
        <v>0.78508341511285573</v>
      </c>
      <c r="J66" s="183">
        <f ca="1">TblPop[[#This Row],[Total]]/TblPop[[#This Row],[Net max]]</f>
        <v>0.99151823579304499</v>
      </c>
      <c r="K66" s="306">
        <f>TblRezone[[#This Row],[Hour]]</f>
        <v>63</v>
      </c>
      <c r="L66" s="307">
        <f ca="1">TblImps[[#This Row],[Real time]]</f>
        <v>44873.583333333183</v>
      </c>
      <c r="M66" s="62">
        <f>IF(ISERROR(TblImps[[#This Row],[algorithm]]),0,TblImps[[#This Row],[algorithm]]*1)</f>
        <v>0</v>
      </c>
      <c r="N66" s="97">
        <f ca="1">TblImps[[#This Row],[Land]]</f>
        <v>250</v>
      </c>
      <c r="O66" s="308" t="s">
        <v>2</v>
      </c>
      <c r="P66" s="309"/>
      <c r="Q66" s="308" t="s">
        <v>216</v>
      </c>
      <c r="R66" s="308" t="s">
        <v>7</v>
      </c>
      <c r="S66" s="309"/>
      <c r="T66" s="308" t="s">
        <v>216</v>
      </c>
      <c r="U66" s="308" t="s">
        <v>3</v>
      </c>
      <c r="V66" s="309"/>
      <c r="W66" s="308" t="s">
        <v>216</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44873.583333333183</v>
      </c>
      <c r="BZ66" s="317">
        <f ca="1">OFFSET(TblImps[[#This Row],[Servertime]],-1,0)+1/24</f>
        <v>44873.583333333183</v>
      </c>
      <c r="CA66" s="320"/>
      <c r="CB66" s="315"/>
      <c r="CC66" s="315"/>
    </row>
    <row r="67" spans="1:84" x14ac:dyDescent="0.2">
      <c r="A67" s="225">
        <f ca="1">TblConstr[[#This Row],[Land]]</f>
        <v>250</v>
      </c>
      <c r="B67" s="145"/>
      <c r="C67" s="97">
        <f ca="1">TblProd[[#This Row],[Platinum]]</f>
        <v>452331</v>
      </c>
      <c r="D67" s="97">
        <f ca="1">TblProd[[#This Row],[Lumber]]</f>
        <v>54871</v>
      </c>
      <c r="E67" s="97">
        <f ca="1">TblProd[[#This Row],[Ore]]</f>
        <v>0</v>
      </c>
      <c r="F67" s="97">
        <f ca="1">TblProd[[#This Row],[Gems]]</f>
        <v>10000</v>
      </c>
      <c r="G67" s="157"/>
      <c r="H67" s="97">
        <f ca="1">TblMili[[#This Row],[Draftees]]</f>
        <v>100</v>
      </c>
      <c r="I67" s="183">
        <f ca="1">TblPop[[#This Row],[Employment]]</f>
        <v>0.78508341511285573</v>
      </c>
      <c r="J67" s="183">
        <f ca="1">TblPop[[#This Row],[Total]]/TblPop[[#This Row],[Net max]]</f>
        <v>0.99151823579304499</v>
      </c>
      <c r="K67" s="306">
        <f>TblRezone[[#This Row],[Hour]]</f>
        <v>64</v>
      </c>
      <c r="L67" s="307">
        <f ca="1">TblImps[[#This Row],[Real time]]</f>
        <v>44873.624999999847</v>
      </c>
      <c r="M67" s="62">
        <f>IF(ISERROR(TblImps[[#This Row],[algorithm]]),0,TblImps[[#This Row],[algorithm]]*1)</f>
        <v>0</v>
      </c>
      <c r="N67" s="97">
        <f ca="1">TblImps[[#This Row],[Land]]</f>
        <v>250</v>
      </c>
      <c r="O67" s="308" t="s">
        <v>4</v>
      </c>
      <c r="P67" s="309"/>
      <c r="Q67" s="308" t="s">
        <v>216</v>
      </c>
      <c r="R67" s="308" t="s">
        <v>7</v>
      </c>
      <c r="S67" s="309"/>
      <c r="T67" s="308" t="s">
        <v>216</v>
      </c>
      <c r="U67" s="308" t="s">
        <v>3</v>
      </c>
      <c r="V67" s="309"/>
      <c r="W67" s="308" t="s">
        <v>216</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44873.624999999847</v>
      </c>
      <c r="BZ67" s="317">
        <f ca="1">OFFSET(TblImps[[#This Row],[Servertime]],-1,0)+1/24</f>
        <v>44873.624999999847</v>
      </c>
      <c r="CA67" s="57"/>
      <c r="CB67" s="315"/>
      <c r="CC67" s="315"/>
    </row>
    <row r="68" spans="1:84" x14ac:dyDescent="0.2">
      <c r="A68" s="225">
        <f ca="1">TblConstr[[#This Row],[Land]]</f>
        <v>250</v>
      </c>
      <c r="B68" s="145"/>
      <c r="C68" s="97">
        <f ca="1">TblProd[[#This Row],[Platinum]]</f>
        <v>458001</v>
      </c>
      <c r="D68" s="97">
        <f ca="1">TblProd[[#This Row],[Lumber]]</f>
        <v>55322</v>
      </c>
      <c r="E68" s="97">
        <f ca="1">TblProd[[#This Row],[Ore]]</f>
        <v>0</v>
      </c>
      <c r="F68" s="97">
        <f ca="1">TblProd[[#This Row],[Gems]]</f>
        <v>10000</v>
      </c>
      <c r="G68" s="157"/>
      <c r="H68" s="97">
        <f ca="1">TblMili[[#This Row],[Draftees]]</f>
        <v>100</v>
      </c>
      <c r="I68" s="183">
        <f ca="1">TblPop[[#This Row],[Employment]]</f>
        <v>0.78508341511285573</v>
      </c>
      <c r="J68" s="183">
        <f ca="1">TblPop[[#This Row],[Total]]/TblPop[[#This Row],[Net max]]</f>
        <v>0.99151823579304499</v>
      </c>
      <c r="K68" s="306">
        <f>TblRezone[[#This Row],[Hour]]</f>
        <v>65</v>
      </c>
      <c r="L68" s="307">
        <f ca="1">TblImps[[#This Row],[Real time]]</f>
        <v>44873.666666666511</v>
      </c>
      <c r="M68" s="62">
        <f>IF(ISERROR(TblImps[[#This Row],[algorithm]]),0,TblImps[[#This Row],[algorithm]]*1)</f>
        <v>0</v>
      </c>
      <c r="N68" s="97">
        <f ca="1">TblImps[[#This Row],[Land]]</f>
        <v>250</v>
      </c>
      <c r="O68" s="308" t="s">
        <v>4</v>
      </c>
      <c r="P68" s="309"/>
      <c r="Q68" s="308" t="s">
        <v>216</v>
      </c>
      <c r="R68" s="308" t="s">
        <v>7</v>
      </c>
      <c r="S68" s="309"/>
      <c r="T68" s="308" t="s">
        <v>216</v>
      </c>
      <c r="U68" s="308" t="s">
        <v>3</v>
      </c>
      <c r="V68" s="309"/>
      <c r="W68" s="308" t="s">
        <v>216</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44873.666666666511</v>
      </c>
      <c r="BZ68" s="317">
        <f ca="1">OFFSET(TblImps[[#This Row],[Servertime]],-1,0)+1/24</f>
        <v>44873.666666666511</v>
      </c>
      <c r="CA68" s="57"/>
      <c r="CB68" s="315"/>
      <c r="CC68" s="315"/>
    </row>
    <row r="69" spans="1:84" x14ac:dyDescent="0.2">
      <c r="A69" s="225">
        <f ca="1">TblConstr[[#This Row],[Land]]</f>
        <v>250</v>
      </c>
      <c r="B69" s="145"/>
      <c r="C69" s="97">
        <f ca="1">TblProd[[#This Row],[Platinum]]</f>
        <v>463671</v>
      </c>
      <c r="D69" s="97">
        <f ca="1">TblProd[[#This Row],[Lumber]]</f>
        <v>55769</v>
      </c>
      <c r="E69" s="97">
        <f ca="1">TblProd[[#This Row],[Ore]]</f>
        <v>0</v>
      </c>
      <c r="F69" s="97">
        <f ca="1">TblProd[[#This Row],[Gems]]</f>
        <v>10000</v>
      </c>
      <c r="G69" s="157"/>
      <c r="H69" s="97">
        <f ca="1">TblMili[[#This Row],[Draftees]]</f>
        <v>100</v>
      </c>
      <c r="I69" s="183">
        <f ca="1">TblPop[[#This Row],[Employment]]</f>
        <v>0.78508341511285573</v>
      </c>
      <c r="J69" s="183">
        <f ca="1">TblPop[[#This Row],[Total]]/TblPop[[#This Row],[Net max]]</f>
        <v>0.99151823579304499</v>
      </c>
      <c r="K69" s="306">
        <f>TblRezone[[#This Row],[Hour]]</f>
        <v>66</v>
      </c>
      <c r="L69" s="307">
        <f ca="1">TblImps[[#This Row],[Real time]]</f>
        <v>44873.708333333176</v>
      </c>
      <c r="M69" s="62">
        <f>IF(ISERROR(TblImps[[#This Row],[algorithm]]),0,TblImps[[#This Row],[algorithm]]*1)</f>
        <v>0</v>
      </c>
      <c r="N69" s="97">
        <f ca="1">TblImps[[#This Row],[Land]]</f>
        <v>250</v>
      </c>
      <c r="O69" s="308" t="s">
        <v>4</v>
      </c>
      <c r="P69" s="309"/>
      <c r="Q69" s="308" t="s">
        <v>216</v>
      </c>
      <c r="R69" s="308" t="s">
        <v>7</v>
      </c>
      <c r="S69" s="309"/>
      <c r="T69" s="308" t="s">
        <v>216</v>
      </c>
      <c r="U69" s="308" t="s">
        <v>3</v>
      </c>
      <c r="V69" s="309"/>
      <c r="W69" s="308" t="s">
        <v>216</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44873.708333333176</v>
      </c>
      <c r="BZ69" s="317">
        <f ca="1">OFFSET(TblImps[[#This Row],[Servertime]],-1,0)+1/24</f>
        <v>44873.708333333176</v>
      </c>
      <c r="CA69" s="57"/>
      <c r="CB69" s="315"/>
      <c r="CC69" s="315"/>
    </row>
    <row r="70" spans="1:84" x14ac:dyDescent="0.2">
      <c r="A70" s="225">
        <f ca="1">TblConstr[[#This Row],[Land]]</f>
        <v>250</v>
      </c>
      <c r="B70" s="145"/>
      <c r="C70" s="97">
        <f ca="1">TblProd[[#This Row],[Platinum]]</f>
        <v>469341</v>
      </c>
      <c r="D70" s="97">
        <f ca="1">TblProd[[#This Row],[Lumber]]</f>
        <v>56211</v>
      </c>
      <c r="E70" s="97">
        <f ca="1">TblProd[[#This Row],[Ore]]</f>
        <v>0</v>
      </c>
      <c r="F70" s="97">
        <f ca="1">TblProd[[#This Row],[Gems]]</f>
        <v>10000</v>
      </c>
      <c r="G70" s="157"/>
      <c r="H70" s="97">
        <f ca="1">TblMili[[#This Row],[Draftees]]</f>
        <v>100</v>
      </c>
      <c r="I70" s="183">
        <f ca="1">TblPop[[#This Row],[Employment]]</f>
        <v>0.78508341511285573</v>
      </c>
      <c r="J70" s="183">
        <f ca="1">TblPop[[#This Row],[Total]]/TblPop[[#This Row],[Net max]]</f>
        <v>0.99151823579304499</v>
      </c>
      <c r="K70" s="306">
        <f>TblRezone[[#This Row],[Hour]]</f>
        <v>67</v>
      </c>
      <c r="L70" s="307">
        <f ca="1">TblImps[[#This Row],[Real time]]</f>
        <v>44873.74999999984</v>
      </c>
      <c r="M70" s="62">
        <f>IF(ISERROR(TblImps[[#This Row],[algorithm]]),0,TblImps[[#This Row],[algorithm]]*1)</f>
        <v>0</v>
      </c>
      <c r="N70" s="97">
        <f ca="1">TblImps[[#This Row],[Land]]</f>
        <v>250</v>
      </c>
      <c r="O70" s="308" t="s">
        <v>4</v>
      </c>
      <c r="P70" s="309"/>
      <c r="Q70" s="308" t="s">
        <v>216</v>
      </c>
      <c r="R70" s="308" t="s">
        <v>7</v>
      </c>
      <c r="S70" s="309"/>
      <c r="T70" s="308" t="s">
        <v>216</v>
      </c>
      <c r="U70" s="308" t="s">
        <v>3</v>
      </c>
      <c r="V70" s="309"/>
      <c r="W70" s="308" t="s">
        <v>216</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44873.74999999984</v>
      </c>
      <c r="BZ70" s="317">
        <f ca="1">OFFSET(TblImps[[#This Row],[Servertime]],-1,0)+1/24</f>
        <v>44873.74999999984</v>
      </c>
      <c r="CA70" s="57"/>
      <c r="CB70" s="315"/>
      <c r="CC70" s="315"/>
    </row>
    <row r="71" spans="1:84" x14ac:dyDescent="0.2">
      <c r="A71" s="225">
        <f ca="1">TblConstr[[#This Row],[Land]]</f>
        <v>250</v>
      </c>
      <c r="B71" s="145"/>
      <c r="C71" s="97">
        <f ca="1">TblProd[[#This Row],[Platinum]]</f>
        <v>475011</v>
      </c>
      <c r="D71" s="97">
        <f ca="1">TblProd[[#This Row],[Lumber]]</f>
        <v>56649</v>
      </c>
      <c r="E71" s="97">
        <f ca="1">TblProd[[#This Row],[Ore]]</f>
        <v>0</v>
      </c>
      <c r="F71" s="97">
        <f ca="1">TblProd[[#This Row],[Gems]]</f>
        <v>10000</v>
      </c>
      <c r="G71" s="157"/>
      <c r="H71" s="97">
        <f ca="1">TblMili[[#This Row],[Draftees]]</f>
        <v>100</v>
      </c>
      <c r="I71" s="183">
        <f ca="1">TblPop[[#This Row],[Employment]]</f>
        <v>0.78508341511285573</v>
      </c>
      <c r="J71" s="183">
        <f ca="1">TblPop[[#This Row],[Total]]/TblPop[[#This Row],[Net max]]</f>
        <v>0.99151823579304499</v>
      </c>
      <c r="K71" s="306">
        <f>TblRezone[[#This Row],[Hour]]</f>
        <v>68</v>
      </c>
      <c r="L71" s="307">
        <f ca="1">TblImps[[#This Row],[Real time]]</f>
        <v>44873.791666666504</v>
      </c>
      <c r="M71" s="62">
        <f>IF(ISERROR(TblImps[[#This Row],[algorithm]]),0,TblImps[[#This Row],[algorithm]]*1)</f>
        <v>0</v>
      </c>
      <c r="N71" s="97">
        <f ca="1">TblImps[[#This Row],[Land]]</f>
        <v>250</v>
      </c>
      <c r="O71" s="308" t="s">
        <v>4</v>
      </c>
      <c r="P71" s="309"/>
      <c r="Q71" s="308" t="s">
        <v>216</v>
      </c>
      <c r="R71" s="308" t="s">
        <v>7</v>
      </c>
      <c r="S71" s="309"/>
      <c r="T71" s="308" t="s">
        <v>216</v>
      </c>
      <c r="U71" s="308" t="s">
        <v>3</v>
      </c>
      <c r="V71" s="309"/>
      <c r="W71" s="308" t="s">
        <v>216</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44873.791666666504</v>
      </c>
      <c r="BZ71" s="317">
        <f ca="1">OFFSET(TblImps[[#This Row],[Servertime]],-1,0)+1/24</f>
        <v>44873.791666666504</v>
      </c>
      <c r="CA71" s="57"/>
      <c r="CB71" s="315"/>
      <c r="CC71" s="315"/>
    </row>
    <row r="72" spans="1:84" x14ac:dyDescent="0.2">
      <c r="A72" s="225">
        <f ca="1">TblConstr[[#This Row],[Land]]</f>
        <v>250</v>
      </c>
      <c r="B72" s="145"/>
      <c r="C72" s="97">
        <f ca="1">TblProd[[#This Row],[Platinum]]</f>
        <v>480681</v>
      </c>
      <c r="D72" s="97">
        <f ca="1">TblProd[[#This Row],[Lumber]]</f>
        <v>57083</v>
      </c>
      <c r="E72" s="97">
        <f ca="1">TblProd[[#This Row],[Ore]]</f>
        <v>0</v>
      </c>
      <c r="F72" s="97">
        <f ca="1">TblProd[[#This Row],[Gems]]</f>
        <v>10000</v>
      </c>
      <c r="G72" s="157"/>
      <c r="H72" s="97">
        <f ca="1">TblMili[[#This Row],[Draftees]]</f>
        <v>100</v>
      </c>
      <c r="I72" s="183">
        <f ca="1">TblPop[[#This Row],[Employment]]</f>
        <v>0.78508341511285573</v>
      </c>
      <c r="J72" s="183">
        <f ca="1">TblPop[[#This Row],[Total]]/TblPop[[#This Row],[Net max]]</f>
        <v>0.99151823579304499</v>
      </c>
      <c r="K72" s="306">
        <f>TblRezone[[#This Row],[Hour]]</f>
        <v>69</v>
      </c>
      <c r="L72" s="307">
        <f ca="1">TblImps[[#This Row],[Real time]]</f>
        <v>44873.833333333168</v>
      </c>
      <c r="M72" s="62">
        <f>IF(ISERROR(TblImps[[#This Row],[algorithm]]),0,TblImps[[#This Row],[algorithm]]*1)</f>
        <v>0</v>
      </c>
      <c r="N72" s="97">
        <f ca="1">TblImps[[#This Row],[Land]]</f>
        <v>250</v>
      </c>
      <c r="O72" s="308" t="s">
        <v>4</v>
      </c>
      <c r="P72" s="309"/>
      <c r="Q72" s="308" t="s">
        <v>216</v>
      </c>
      <c r="R72" s="308" t="s">
        <v>7</v>
      </c>
      <c r="S72" s="309"/>
      <c r="T72" s="308" t="s">
        <v>216</v>
      </c>
      <c r="U72" s="308" t="s">
        <v>3</v>
      </c>
      <c r="V72" s="309"/>
      <c r="W72" s="308" t="s">
        <v>216</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44873.833333333168</v>
      </c>
      <c r="BZ72" s="317">
        <f ca="1">OFFSET(TblImps[[#This Row],[Servertime]],-1,0)+1/24</f>
        <v>44873.833333333168</v>
      </c>
      <c r="CA72" s="57"/>
      <c r="CB72" s="315"/>
      <c r="CC72" s="315"/>
    </row>
    <row r="73" spans="1:84" x14ac:dyDescent="0.2">
      <c r="A73" s="225">
        <f ca="1">TblConstr[[#This Row],[Land]]</f>
        <v>250</v>
      </c>
      <c r="B73" s="145"/>
      <c r="C73" s="97">
        <f ca="1">TblProd[[#This Row],[Platinum]]</f>
        <v>486351</v>
      </c>
      <c r="D73" s="97">
        <f ca="1">TblProd[[#This Row],[Lumber]]</f>
        <v>57512</v>
      </c>
      <c r="E73" s="97">
        <f ca="1">TblProd[[#This Row],[Ore]]</f>
        <v>0</v>
      </c>
      <c r="F73" s="97">
        <f ca="1">TblProd[[#This Row],[Gems]]</f>
        <v>10000</v>
      </c>
      <c r="G73" s="157"/>
      <c r="H73" s="97">
        <f ca="1">TblMili[[#This Row],[Draftees]]</f>
        <v>100</v>
      </c>
      <c r="I73" s="183">
        <f ca="1">TblPop[[#This Row],[Employment]]</f>
        <v>0.78508341511285573</v>
      </c>
      <c r="J73" s="183">
        <f ca="1">TblPop[[#This Row],[Total]]/TblPop[[#This Row],[Net max]]</f>
        <v>0.99151823579304499</v>
      </c>
      <c r="K73" s="306">
        <f>TblRezone[[#This Row],[Hour]]</f>
        <v>70</v>
      </c>
      <c r="L73" s="307">
        <f ca="1">TblImps[[#This Row],[Real time]]</f>
        <v>44873.874999999833</v>
      </c>
      <c r="M73" s="62">
        <f>IF(ISERROR(TblImps[[#This Row],[algorithm]]),0,TblImps[[#This Row],[algorithm]]*1)</f>
        <v>0</v>
      </c>
      <c r="N73" s="97">
        <f ca="1">TblImps[[#This Row],[Land]]</f>
        <v>250</v>
      </c>
      <c r="O73" s="308" t="s">
        <v>4</v>
      </c>
      <c r="P73" s="309"/>
      <c r="Q73" s="308" t="s">
        <v>216</v>
      </c>
      <c r="R73" s="308" t="s">
        <v>7</v>
      </c>
      <c r="S73" s="309"/>
      <c r="T73" s="308" t="s">
        <v>216</v>
      </c>
      <c r="U73" s="308" t="s">
        <v>3</v>
      </c>
      <c r="V73" s="309"/>
      <c r="W73" s="308" t="s">
        <v>216</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44873.874999999833</v>
      </c>
      <c r="BZ73" s="317">
        <f ca="1">OFFSET(TblImps[[#This Row],[Servertime]],-1,0)+1/24</f>
        <v>44873.874999999833</v>
      </c>
      <c r="CA73" s="57"/>
      <c r="CB73" s="315"/>
      <c r="CC73" s="315"/>
    </row>
    <row r="74" spans="1:84" x14ac:dyDescent="0.2">
      <c r="A74" s="225">
        <f ca="1">TblConstr[[#This Row],[Land]]</f>
        <v>250</v>
      </c>
      <c r="B74" s="145"/>
      <c r="C74" s="97">
        <f ca="1">TblProd[[#This Row],[Platinum]]</f>
        <v>492021</v>
      </c>
      <c r="D74" s="97">
        <f ca="1">TblProd[[#This Row],[Lumber]]</f>
        <v>57937</v>
      </c>
      <c r="E74" s="97">
        <f ca="1">TblProd[[#This Row],[Ore]]</f>
        <v>0</v>
      </c>
      <c r="F74" s="97">
        <f ca="1">TblProd[[#This Row],[Gems]]</f>
        <v>10000</v>
      </c>
      <c r="G74" s="157"/>
      <c r="H74" s="97">
        <f ca="1">TblMili[[#This Row],[Draftees]]</f>
        <v>100</v>
      </c>
      <c r="I74" s="183">
        <f ca="1">TblPop[[#This Row],[Employment]]</f>
        <v>0.78508341511285573</v>
      </c>
      <c r="J74" s="183">
        <f ca="1">TblPop[[#This Row],[Total]]/TblPop[[#This Row],[Net max]]</f>
        <v>0.99151823579304499</v>
      </c>
      <c r="K74" s="306">
        <f>TblRezone[[#This Row],[Hour]]</f>
        <v>71</v>
      </c>
      <c r="L74" s="307">
        <f ca="1">TblImps[[#This Row],[Real time]]</f>
        <v>44873.916666666497</v>
      </c>
      <c r="M74" s="62">
        <f>IF(ISERROR(TblImps[[#This Row],[algorithm]]),0,TblImps[[#This Row],[algorithm]]*1)</f>
        <v>0</v>
      </c>
      <c r="N74" s="97">
        <f ca="1">TblImps[[#This Row],[Land]]</f>
        <v>250</v>
      </c>
      <c r="O74" s="308" t="s">
        <v>4</v>
      </c>
      <c r="P74" s="309"/>
      <c r="Q74" s="308" t="s">
        <v>216</v>
      </c>
      <c r="R74" s="308" t="s">
        <v>7</v>
      </c>
      <c r="S74" s="309"/>
      <c r="T74" s="308" t="s">
        <v>216</v>
      </c>
      <c r="U74" s="308" t="s">
        <v>3</v>
      </c>
      <c r="V74" s="309"/>
      <c r="W74" s="308" t="s">
        <v>216</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44873.916666666497</v>
      </c>
      <c r="BZ74" s="317">
        <f ca="1">OFFSET(TblImps[[#This Row],[Servertime]],-1,0)+1/24</f>
        <v>44873.916666666497</v>
      </c>
      <c r="CA74" s="57"/>
      <c r="CB74" s="315"/>
      <c r="CC74" s="315"/>
    </row>
    <row r="75" spans="1:84" x14ac:dyDescent="0.2">
      <c r="A75" s="225">
        <f ca="1">TblConstr[[#This Row],[Land]]</f>
        <v>250</v>
      </c>
      <c r="B75" s="145"/>
      <c r="C75" s="97">
        <f ca="1">TblProd[[#This Row],[Platinum]]</f>
        <v>497691</v>
      </c>
      <c r="D75" s="97">
        <f ca="1">TblProd[[#This Row],[Lumber]]</f>
        <v>58358</v>
      </c>
      <c r="E75" s="97">
        <f ca="1">TblProd[[#This Row],[Ore]]</f>
        <v>0</v>
      </c>
      <c r="F75" s="97">
        <f ca="1">TblProd[[#This Row],[Gems]]</f>
        <v>10000</v>
      </c>
      <c r="G75" s="157"/>
      <c r="H75" s="97">
        <f ca="1">TblMili[[#This Row],[Draftees]]</f>
        <v>100</v>
      </c>
      <c r="I75" s="183">
        <f ca="1">TblPop[[#This Row],[Employment]]</f>
        <v>0.78508341511285573</v>
      </c>
      <c r="J75" s="183">
        <f ca="1">TblPop[[#This Row],[Total]]/TblPop[[#This Row],[Net max]]</f>
        <v>0.99151823579304499</v>
      </c>
      <c r="K75" s="306">
        <f>TblRezone[[#This Row],[Hour]]</f>
        <v>72</v>
      </c>
      <c r="L75" s="307">
        <f ca="1">TblImps[[#This Row],[Real time]]</f>
        <v>44873.958333333161</v>
      </c>
      <c r="M75" s="62">
        <f>IF(ISERROR(TblImps[[#This Row],[algorithm]]),0,TblImps[[#This Row],[algorithm]]*1)</f>
        <v>0</v>
      </c>
      <c r="N75" s="97">
        <f ca="1">TblImps[[#This Row],[Land]]</f>
        <v>250</v>
      </c>
      <c r="O75" s="308" t="s">
        <v>4</v>
      </c>
      <c r="P75" s="309"/>
      <c r="Q75" s="308" t="s">
        <v>216</v>
      </c>
      <c r="R75" s="308" t="s">
        <v>7</v>
      </c>
      <c r="S75" s="309"/>
      <c r="T75" s="308" t="s">
        <v>216</v>
      </c>
      <c r="U75" s="308" t="s">
        <v>3</v>
      </c>
      <c r="V75" s="309"/>
      <c r="W75" s="308" t="s">
        <v>216</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44873.958333333161</v>
      </c>
      <c r="BZ75" s="317">
        <f ca="1">OFFSET(TblImps[[#This Row],[Servertime]],-1,0)+1/24</f>
        <v>44873.958333333161</v>
      </c>
      <c r="CA75" s="57"/>
      <c r="CB75" s="315"/>
      <c r="CC75" s="315"/>
    </row>
    <row r="76" spans="1:84" x14ac:dyDescent="0.2">
      <c r="A76" s="242">
        <f ca="1">TblConstr[[#This Row],[Land]]</f>
        <v>250</v>
      </c>
      <c r="B76" s="152"/>
      <c r="C76" s="210">
        <f ca="1">TblProd[[#This Row],[Platinum]]</f>
        <v>503361</v>
      </c>
      <c r="D76" s="210">
        <f ca="1">TblProd[[#This Row],[Lumber]]</f>
        <v>58774</v>
      </c>
      <c r="E76" s="210">
        <f ca="1">TblProd[[#This Row],[Ore]]</f>
        <v>0</v>
      </c>
      <c r="F76" s="210">
        <f ca="1">TblProd[[#This Row],[Gems]]</f>
        <v>10000</v>
      </c>
      <c r="G76" s="165"/>
      <c r="H76" s="210">
        <f ca="1">TblMili[[#This Row],[Draftees]]</f>
        <v>100</v>
      </c>
      <c r="I76" s="209">
        <f ca="1">TblPop[[#This Row],[Employment]]</f>
        <v>0.78508341511285573</v>
      </c>
      <c r="J76" s="209">
        <f ca="1">TblPop[[#This Row],[Total]]/TblPop[[#This Row],[Net max]]</f>
        <v>0.99151823579304499</v>
      </c>
      <c r="K76" s="321">
        <f>TblRezone[[#This Row],[Hour]]</f>
        <v>73</v>
      </c>
      <c r="L76" s="322">
        <f ca="1">TblImps[[#This Row],[Real time]]</f>
        <v>44873.999999999825</v>
      </c>
      <c r="M76" s="200">
        <f>IF(ISERROR(TblImps[[#This Row],[algorithm]]),0,TblImps[[#This Row],[algorithm]]*1)</f>
        <v>0</v>
      </c>
      <c r="N76" s="210">
        <f ca="1">TblImps[[#This Row],[Land]]</f>
        <v>250</v>
      </c>
      <c r="O76" s="323" t="s">
        <v>4</v>
      </c>
      <c r="P76" s="324"/>
      <c r="Q76" s="323" t="s">
        <v>216</v>
      </c>
      <c r="R76" s="308" t="s">
        <v>7</v>
      </c>
      <c r="S76" s="324"/>
      <c r="T76" s="323" t="s">
        <v>216</v>
      </c>
      <c r="U76" s="323" t="s">
        <v>3</v>
      </c>
      <c r="V76" s="324"/>
      <c r="W76" s="323" t="s">
        <v>216</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44873.999999999825</v>
      </c>
      <c r="BZ76" s="327">
        <f ca="1">OFFSET(TblImps[[#This Row],[Servertime]],-1,0)+1/24</f>
        <v>44873.999999999825</v>
      </c>
    </row>
    <row r="77" spans="1:84" x14ac:dyDescent="0.2">
      <c r="A77" s="225">
        <f ca="1">TblConstr[[#This Row],[Land]]</f>
        <v>250</v>
      </c>
      <c r="B77" s="145"/>
      <c r="C77" s="97">
        <f ca="1">TblProd[[#This Row],[Platinum]]</f>
        <v>509031</v>
      </c>
      <c r="D77" s="97">
        <f ca="1">TblProd[[#This Row],[Lumber]]</f>
        <v>59186</v>
      </c>
      <c r="E77" s="97">
        <f ca="1">TblProd[[#This Row],[Ore]]</f>
        <v>0</v>
      </c>
      <c r="F77" s="97">
        <f ca="1">TblProd[[#This Row],[Gems]]</f>
        <v>10000</v>
      </c>
      <c r="G77" s="157"/>
      <c r="H77" s="97">
        <f ca="1">TblMili[[#This Row],[Draftees]]</f>
        <v>100</v>
      </c>
      <c r="I77" s="183">
        <f ca="1">TblPop[[#This Row],[Employment]]</f>
        <v>0.78508341511285573</v>
      </c>
      <c r="J77" s="183">
        <f ca="1">TblPop[[#This Row],[Total]]/TblPop[[#This Row],[Net max]]</f>
        <v>0.99151823579304499</v>
      </c>
      <c r="K77" s="306">
        <f>TblRezone[[#This Row],[Hour]]</f>
        <v>74</v>
      </c>
      <c r="L77" s="307">
        <f ca="1">TblImps[[#This Row],[Real time]]</f>
        <v>44874.04166666649</v>
      </c>
      <c r="M77" s="62">
        <f>IF(ISERROR(TblImps[[#This Row],[algorithm]]),0,TblImps[[#This Row],[algorithm]]*1)</f>
        <v>0</v>
      </c>
      <c r="N77" s="97">
        <f ca="1">TblImps[[#This Row],[Land]]</f>
        <v>250</v>
      </c>
      <c r="O77" s="308" t="s">
        <v>4</v>
      </c>
      <c r="P77" s="309"/>
      <c r="Q77" s="308" t="s">
        <v>216</v>
      </c>
      <c r="R77" s="308" t="s">
        <v>7</v>
      </c>
      <c r="S77" s="309"/>
      <c r="T77" s="308" t="s">
        <v>216</v>
      </c>
      <c r="U77" s="308" t="s">
        <v>3</v>
      </c>
      <c r="V77" s="309"/>
      <c r="W77" s="308" t="s">
        <v>216</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44874.04166666649</v>
      </c>
      <c r="BZ77" s="317">
        <f ca="1">OFFSET(TblImps[[#This Row],[Servertime]],-1,0)+1/24</f>
        <v>44874.04166666649</v>
      </c>
      <c r="CA77" s="57"/>
      <c r="CB77" s="315"/>
      <c r="CC77" s="315"/>
    </row>
    <row r="78" spans="1:84" x14ac:dyDescent="0.2">
      <c r="A78" s="225">
        <f ca="1">TblConstr[[#This Row],[Land]]</f>
        <v>250</v>
      </c>
      <c r="B78" s="145"/>
      <c r="C78" s="97">
        <f ca="1">TblProd[[#This Row],[Platinum]]</f>
        <v>514701</v>
      </c>
      <c r="D78" s="97">
        <f ca="1">TblProd[[#This Row],[Lumber]]</f>
        <v>59594</v>
      </c>
      <c r="E78" s="97">
        <f ca="1">TblProd[[#This Row],[Ore]]</f>
        <v>0</v>
      </c>
      <c r="F78" s="97">
        <f ca="1">TblProd[[#This Row],[Gems]]</f>
        <v>10000</v>
      </c>
      <c r="G78" s="157"/>
      <c r="H78" s="97">
        <f ca="1">TblMili[[#This Row],[Draftees]]</f>
        <v>100</v>
      </c>
      <c r="I78" s="183">
        <f ca="1">TblPop[[#This Row],[Employment]]</f>
        <v>0.78508341511285573</v>
      </c>
      <c r="J78" s="183">
        <f ca="1">TblPop[[#This Row],[Total]]/TblPop[[#This Row],[Net max]]</f>
        <v>0.99151823579304499</v>
      </c>
      <c r="K78" s="306">
        <f>TblRezone[[#This Row],[Hour]]</f>
        <v>75</v>
      </c>
      <c r="L78" s="307">
        <f ca="1">TblImps[[#This Row],[Real time]]</f>
        <v>44874.083333333154</v>
      </c>
      <c r="M78" s="62">
        <f>IF(ISERROR(TblImps[[#This Row],[algorithm]]),0,TblImps[[#This Row],[algorithm]]*1)</f>
        <v>0</v>
      </c>
      <c r="N78" s="97">
        <f ca="1">TblImps[[#This Row],[Land]]</f>
        <v>250</v>
      </c>
      <c r="O78" s="308" t="s">
        <v>4</v>
      </c>
      <c r="P78" s="309"/>
      <c r="Q78" s="308" t="s">
        <v>216</v>
      </c>
      <c r="R78" s="308" t="s">
        <v>7</v>
      </c>
      <c r="S78" s="309"/>
      <c r="T78" s="308" t="s">
        <v>216</v>
      </c>
      <c r="U78" s="308" t="s">
        <v>3</v>
      </c>
      <c r="V78" s="309"/>
      <c r="W78" s="308" t="s">
        <v>216</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44874.083333333154</v>
      </c>
      <c r="BZ78" s="317">
        <f ca="1">OFFSET(TblImps[[#This Row],[Servertime]],-1,0)+1/24</f>
        <v>44874.083333333154</v>
      </c>
      <c r="CA78" s="57"/>
      <c r="CB78" s="315"/>
      <c r="CC78" s="315"/>
      <c r="CF78" s="318"/>
    </row>
    <row r="79" spans="1:84" x14ac:dyDescent="0.2">
      <c r="A79" s="225">
        <f ca="1">TblConstr[[#This Row],[Land]]</f>
        <v>250</v>
      </c>
      <c r="B79" s="145"/>
      <c r="C79" s="97">
        <f ca="1">TblProd[[#This Row],[Platinum]]</f>
        <v>520371</v>
      </c>
      <c r="D79" s="97">
        <f ca="1">TblProd[[#This Row],[Lumber]]</f>
        <v>59998</v>
      </c>
      <c r="E79" s="97">
        <f ca="1">TblProd[[#This Row],[Ore]]</f>
        <v>0</v>
      </c>
      <c r="F79" s="97">
        <f ca="1">TblProd[[#This Row],[Gems]]</f>
        <v>10000</v>
      </c>
      <c r="G79" s="157"/>
      <c r="H79" s="97">
        <f ca="1">TblMili[[#This Row],[Draftees]]</f>
        <v>100</v>
      </c>
      <c r="I79" s="183">
        <f ca="1">TblPop[[#This Row],[Employment]]</f>
        <v>0.78508341511285573</v>
      </c>
      <c r="J79" s="183">
        <f ca="1">TblPop[[#This Row],[Total]]/TblPop[[#This Row],[Net max]]</f>
        <v>0.99151823579304499</v>
      </c>
      <c r="K79" s="306">
        <f>TblRezone[[#This Row],[Hour]]</f>
        <v>76</v>
      </c>
      <c r="L79" s="307">
        <f ca="1">TblImps[[#This Row],[Real time]]</f>
        <v>44874.124999999818</v>
      </c>
      <c r="M79" s="62">
        <f>IF(ISERROR(TblImps[[#This Row],[algorithm]]),0,TblImps[[#This Row],[algorithm]]*1)</f>
        <v>0</v>
      </c>
      <c r="N79" s="97">
        <f ca="1">TblImps[[#This Row],[Land]]</f>
        <v>250</v>
      </c>
      <c r="O79" s="308" t="s">
        <v>4</v>
      </c>
      <c r="P79" s="309"/>
      <c r="Q79" s="308" t="s">
        <v>216</v>
      </c>
      <c r="R79" s="308" t="s">
        <v>7</v>
      </c>
      <c r="S79" s="309"/>
      <c r="T79" s="308" t="s">
        <v>216</v>
      </c>
      <c r="U79" s="308" t="s">
        <v>3</v>
      </c>
      <c r="V79" s="309"/>
      <c r="W79" s="308" t="s">
        <v>216</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44874.124999999818</v>
      </c>
      <c r="BZ79" s="317">
        <f ca="1">OFFSET(TblImps[[#This Row],[Servertime]],-1,0)+1/24</f>
        <v>44874.124999999818</v>
      </c>
      <c r="CA79" s="57"/>
      <c r="CB79" s="315"/>
      <c r="CC79" s="315"/>
      <c r="CF79" s="319"/>
    </row>
    <row r="80" spans="1:84" x14ac:dyDescent="0.2">
      <c r="A80" s="225">
        <f ca="1">TblConstr[[#This Row],[Land]]</f>
        <v>250</v>
      </c>
      <c r="B80" s="145"/>
      <c r="C80" s="97">
        <f ca="1">TblProd[[#This Row],[Platinum]]</f>
        <v>526041</v>
      </c>
      <c r="D80" s="97">
        <f ca="1">TblProd[[#This Row],[Lumber]]</f>
        <v>60398</v>
      </c>
      <c r="E80" s="97">
        <f ca="1">TblProd[[#This Row],[Ore]]</f>
        <v>0</v>
      </c>
      <c r="F80" s="97">
        <f ca="1">TblProd[[#This Row],[Gems]]</f>
        <v>10000</v>
      </c>
      <c r="G80" s="157"/>
      <c r="H80" s="97">
        <f ca="1">TblMili[[#This Row],[Draftees]]</f>
        <v>100</v>
      </c>
      <c r="I80" s="183">
        <f ca="1">TblPop[[#This Row],[Employment]]</f>
        <v>0.78508341511285573</v>
      </c>
      <c r="J80" s="183">
        <f ca="1">TblPop[[#This Row],[Total]]/TblPop[[#This Row],[Net max]]</f>
        <v>0.99151823579304499</v>
      </c>
      <c r="K80" s="306">
        <f>TblRezone[[#This Row],[Hour]]</f>
        <v>77</v>
      </c>
      <c r="L80" s="307">
        <f ca="1">TblImps[[#This Row],[Real time]]</f>
        <v>44874.166666666482</v>
      </c>
      <c r="M80" s="62">
        <f>IF(ISERROR(TblImps[[#This Row],[algorithm]]),0,TblImps[[#This Row],[algorithm]]*1)</f>
        <v>0</v>
      </c>
      <c r="N80" s="97">
        <f ca="1">TblImps[[#This Row],[Land]]</f>
        <v>250</v>
      </c>
      <c r="O80" s="308" t="s">
        <v>4</v>
      </c>
      <c r="P80" s="309"/>
      <c r="Q80" s="308" t="s">
        <v>216</v>
      </c>
      <c r="R80" s="308" t="s">
        <v>7</v>
      </c>
      <c r="S80" s="309"/>
      <c r="T80" s="308" t="s">
        <v>216</v>
      </c>
      <c r="U80" s="308" t="s">
        <v>3</v>
      </c>
      <c r="V80" s="309"/>
      <c r="W80" s="308" t="s">
        <v>216</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44874.166666666482</v>
      </c>
      <c r="BZ80" s="317">
        <f ca="1">OFFSET(TblImps[[#This Row],[Servertime]],-1,0)+1/24</f>
        <v>44874.166666666482</v>
      </c>
      <c r="CA80" s="57"/>
      <c r="CB80" s="315"/>
      <c r="CC80" s="315"/>
      <c r="CF80" s="318"/>
    </row>
    <row r="81" spans="1:84" x14ac:dyDescent="0.2">
      <c r="A81" s="225">
        <f ca="1">TblConstr[[#This Row],[Land]]</f>
        <v>250</v>
      </c>
      <c r="B81" s="145"/>
      <c r="C81" s="97">
        <f ca="1">TblProd[[#This Row],[Platinum]]</f>
        <v>531711</v>
      </c>
      <c r="D81" s="97">
        <f ca="1">TblProd[[#This Row],[Lumber]]</f>
        <v>60794</v>
      </c>
      <c r="E81" s="97">
        <f ca="1">TblProd[[#This Row],[Ore]]</f>
        <v>0</v>
      </c>
      <c r="F81" s="97">
        <f ca="1">TblProd[[#This Row],[Gems]]</f>
        <v>10000</v>
      </c>
      <c r="G81" s="157"/>
      <c r="H81" s="97">
        <f ca="1">TblMili[[#This Row],[Draftees]]</f>
        <v>100</v>
      </c>
      <c r="I81" s="183">
        <f ca="1">TblPop[[#This Row],[Employment]]</f>
        <v>0.78508341511285573</v>
      </c>
      <c r="J81" s="183">
        <f ca="1">TblPop[[#This Row],[Total]]/TblPop[[#This Row],[Net max]]</f>
        <v>0.99151823579304499</v>
      </c>
      <c r="K81" s="306">
        <f>TblRezone[[#This Row],[Hour]]</f>
        <v>78</v>
      </c>
      <c r="L81" s="307">
        <f ca="1">TblImps[[#This Row],[Real time]]</f>
        <v>44874.208333333147</v>
      </c>
      <c r="M81" s="62">
        <f>IF(ISERROR(TblImps[[#This Row],[algorithm]]),0,TblImps[[#This Row],[algorithm]]*1)</f>
        <v>0</v>
      </c>
      <c r="N81" s="97">
        <f ca="1">TblImps[[#This Row],[Land]]</f>
        <v>250</v>
      </c>
      <c r="O81" s="308" t="s">
        <v>4</v>
      </c>
      <c r="P81" s="309"/>
      <c r="Q81" s="308" t="s">
        <v>216</v>
      </c>
      <c r="R81" s="308" t="s">
        <v>7</v>
      </c>
      <c r="S81" s="309"/>
      <c r="T81" s="308" t="s">
        <v>216</v>
      </c>
      <c r="U81" s="308" t="s">
        <v>3</v>
      </c>
      <c r="V81" s="309"/>
      <c r="W81" s="308" t="s">
        <v>216</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44874.208333333147</v>
      </c>
      <c r="BZ81" s="317">
        <f ca="1">OFFSET(TblImps[[#This Row],[Servertime]],-1,0)+1/24</f>
        <v>44874.208333333147</v>
      </c>
      <c r="CA81" s="57"/>
      <c r="CB81" s="315"/>
      <c r="CC81" s="315"/>
      <c r="CF81" s="318"/>
    </row>
    <row r="82" spans="1:84" x14ac:dyDescent="0.2">
      <c r="A82" s="225">
        <f ca="1">TblConstr[[#This Row],[Land]]</f>
        <v>250</v>
      </c>
      <c r="B82" s="145"/>
      <c r="C82" s="97">
        <f ca="1">TblProd[[#This Row],[Platinum]]</f>
        <v>537381</v>
      </c>
      <c r="D82" s="97">
        <f ca="1">TblProd[[#This Row],[Lumber]]</f>
        <v>61186</v>
      </c>
      <c r="E82" s="97">
        <f ca="1">TblProd[[#This Row],[Ore]]</f>
        <v>0</v>
      </c>
      <c r="F82" s="97">
        <f ca="1">TblProd[[#This Row],[Gems]]</f>
        <v>10000</v>
      </c>
      <c r="G82" s="157"/>
      <c r="H82" s="97">
        <f ca="1">TblMili[[#This Row],[Draftees]]</f>
        <v>100</v>
      </c>
      <c r="I82" s="183">
        <f ca="1">TblPop[[#This Row],[Employment]]</f>
        <v>0.78508341511285573</v>
      </c>
      <c r="J82" s="183">
        <f ca="1">TblPop[[#This Row],[Total]]/TblPop[[#This Row],[Net max]]</f>
        <v>0.99151823579304499</v>
      </c>
      <c r="K82" s="306">
        <f>TblRezone[[#This Row],[Hour]]</f>
        <v>79</v>
      </c>
      <c r="L82" s="307">
        <f ca="1">TblImps[[#This Row],[Real time]]</f>
        <v>44874.249999999811</v>
      </c>
      <c r="M82" s="62">
        <f>IF(ISERROR(TblImps[[#This Row],[algorithm]]),0,TblImps[[#This Row],[algorithm]]*1)</f>
        <v>0</v>
      </c>
      <c r="N82" s="97">
        <f ca="1">TblImps[[#This Row],[Land]]</f>
        <v>250</v>
      </c>
      <c r="O82" s="308" t="s">
        <v>4</v>
      </c>
      <c r="P82" s="309"/>
      <c r="Q82" s="308" t="s">
        <v>216</v>
      </c>
      <c r="R82" s="308" t="s">
        <v>7</v>
      </c>
      <c r="S82" s="309"/>
      <c r="T82" s="308" t="s">
        <v>216</v>
      </c>
      <c r="U82" s="308" t="s">
        <v>3</v>
      </c>
      <c r="V82" s="309"/>
      <c r="W82" s="308" t="s">
        <v>216</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44874.249999999811</v>
      </c>
      <c r="BZ82" s="317">
        <f ca="1">OFFSET(TblImps[[#This Row],[Servertime]],-1,0)+1/24</f>
        <v>44874.249999999811</v>
      </c>
      <c r="CA82" s="57"/>
      <c r="CB82" s="315"/>
      <c r="CC82" s="315"/>
    </row>
    <row r="83" spans="1:84" x14ac:dyDescent="0.2">
      <c r="A83" s="225">
        <f ca="1">TblConstr[[#This Row],[Land]]</f>
        <v>250</v>
      </c>
      <c r="B83" s="145"/>
      <c r="C83" s="97">
        <f ca="1">TblProd[[#This Row],[Platinum]]</f>
        <v>543051</v>
      </c>
      <c r="D83" s="97">
        <f ca="1">TblProd[[#This Row],[Lumber]]</f>
        <v>61574</v>
      </c>
      <c r="E83" s="97">
        <f ca="1">TblProd[[#This Row],[Ore]]</f>
        <v>0</v>
      </c>
      <c r="F83" s="97">
        <f ca="1">TblProd[[#This Row],[Gems]]</f>
        <v>10000</v>
      </c>
      <c r="G83" s="157"/>
      <c r="H83" s="97">
        <f ca="1">TblMili[[#This Row],[Draftees]]</f>
        <v>100</v>
      </c>
      <c r="I83" s="183">
        <f ca="1">TblPop[[#This Row],[Employment]]</f>
        <v>0.78508341511285573</v>
      </c>
      <c r="J83" s="183">
        <f ca="1">TblPop[[#This Row],[Total]]/TblPop[[#This Row],[Net max]]</f>
        <v>0.99151823579304499</v>
      </c>
      <c r="K83" s="306">
        <f>TblRezone[[#This Row],[Hour]]</f>
        <v>80</v>
      </c>
      <c r="L83" s="307">
        <f ca="1">TblImps[[#This Row],[Real time]]</f>
        <v>44874.291666666475</v>
      </c>
      <c r="M83" s="62">
        <f>IF(ISERROR(TblImps[[#This Row],[algorithm]]),0,TblImps[[#This Row],[algorithm]]*1)</f>
        <v>0</v>
      </c>
      <c r="N83" s="97">
        <f ca="1">TblImps[[#This Row],[Land]]</f>
        <v>250</v>
      </c>
      <c r="O83" s="308" t="s">
        <v>4</v>
      </c>
      <c r="P83" s="309"/>
      <c r="Q83" s="308" t="s">
        <v>216</v>
      </c>
      <c r="R83" s="308" t="s">
        <v>7</v>
      </c>
      <c r="S83" s="309"/>
      <c r="T83" s="308" t="s">
        <v>216</v>
      </c>
      <c r="U83" s="308" t="s">
        <v>3</v>
      </c>
      <c r="V83" s="309"/>
      <c r="W83" s="308" t="s">
        <v>216</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44874.291666666475</v>
      </c>
      <c r="BZ83" s="317">
        <f ca="1">OFFSET(TblImps[[#This Row],[Servertime]],-1,0)+1/24</f>
        <v>44874.291666666475</v>
      </c>
      <c r="CA83" s="57"/>
      <c r="CB83" s="315"/>
      <c r="CC83" s="315"/>
    </row>
    <row r="84" spans="1:84" x14ac:dyDescent="0.2">
      <c r="A84" s="225">
        <f ca="1">TblConstr[[#This Row],[Land]]</f>
        <v>250</v>
      </c>
      <c r="B84" s="145"/>
      <c r="C84" s="97">
        <f ca="1">TblProd[[#This Row],[Platinum]]</f>
        <v>548721</v>
      </c>
      <c r="D84" s="97">
        <f ca="1">TblProd[[#This Row],[Lumber]]</f>
        <v>61958</v>
      </c>
      <c r="E84" s="97">
        <f ca="1">TblProd[[#This Row],[Ore]]</f>
        <v>0</v>
      </c>
      <c r="F84" s="97">
        <f ca="1">TblProd[[#This Row],[Gems]]</f>
        <v>10000</v>
      </c>
      <c r="G84" s="157"/>
      <c r="H84" s="97">
        <f ca="1">TblMili[[#This Row],[Draftees]]</f>
        <v>100</v>
      </c>
      <c r="I84" s="183">
        <f ca="1">TblPop[[#This Row],[Employment]]</f>
        <v>0.78508341511285573</v>
      </c>
      <c r="J84" s="183">
        <f ca="1">TblPop[[#This Row],[Total]]/TblPop[[#This Row],[Net max]]</f>
        <v>0.99151823579304499</v>
      </c>
      <c r="K84" s="306">
        <f>TblRezone[[#This Row],[Hour]]</f>
        <v>81</v>
      </c>
      <c r="L84" s="307">
        <f ca="1">TblImps[[#This Row],[Real time]]</f>
        <v>44874.333333333139</v>
      </c>
      <c r="M84" s="62">
        <f>IF(ISERROR(TblImps[[#This Row],[algorithm]]),0,TblImps[[#This Row],[algorithm]]*1)</f>
        <v>0</v>
      </c>
      <c r="N84" s="97">
        <f ca="1">TblImps[[#This Row],[Land]]</f>
        <v>250</v>
      </c>
      <c r="O84" s="308" t="s">
        <v>4</v>
      </c>
      <c r="P84" s="309"/>
      <c r="Q84" s="308" t="s">
        <v>216</v>
      </c>
      <c r="R84" s="308" t="s">
        <v>7</v>
      </c>
      <c r="S84" s="309"/>
      <c r="T84" s="308" t="s">
        <v>216</v>
      </c>
      <c r="U84" s="308" t="s">
        <v>3</v>
      </c>
      <c r="V84" s="309"/>
      <c r="W84" s="308" t="s">
        <v>216</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44874.333333333139</v>
      </c>
      <c r="BZ84" s="317">
        <f ca="1">OFFSET(TblImps[[#This Row],[Servertime]],-1,0)+1/24</f>
        <v>44874.333333333139</v>
      </c>
      <c r="CA84" s="57"/>
      <c r="CB84" s="315"/>
      <c r="CC84" s="315"/>
    </row>
    <row r="85" spans="1:84" x14ac:dyDescent="0.2">
      <c r="A85" s="225">
        <f ca="1">TblConstr[[#This Row],[Land]]</f>
        <v>250</v>
      </c>
      <c r="B85" s="145"/>
      <c r="C85" s="97">
        <f ca="1">TblProd[[#This Row],[Platinum]]</f>
        <v>554391</v>
      </c>
      <c r="D85" s="97">
        <f ca="1">TblProd[[#This Row],[Lumber]]</f>
        <v>62338</v>
      </c>
      <c r="E85" s="97">
        <f ca="1">TblProd[[#This Row],[Ore]]</f>
        <v>0</v>
      </c>
      <c r="F85" s="97">
        <f ca="1">TblProd[[#This Row],[Gems]]</f>
        <v>10000</v>
      </c>
      <c r="G85" s="157"/>
      <c r="H85" s="97">
        <f ca="1">TblMili[[#This Row],[Draftees]]</f>
        <v>100</v>
      </c>
      <c r="I85" s="183">
        <f ca="1">TblPop[[#This Row],[Employment]]</f>
        <v>0.78508341511285573</v>
      </c>
      <c r="J85" s="183">
        <f ca="1">TblPop[[#This Row],[Total]]/TblPop[[#This Row],[Net max]]</f>
        <v>0.99151823579304499</v>
      </c>
      <c r="K85" s="306">
        <f>TblRezone[[#This Row],[Hour]]</f>
        <v>82</v>
      </c>
      <c r="L85" s="307">
        <f ca="1">TblImps[[#This Row],[Real time]]</f>
        <v>44874.374999999804</v>
      </c>
      <c r="M85" s="62">
        <f>IF(ISERROR(TblImps[[#This Row],[algorithm]]),0,TblImps[[#This Row],[algorithm]]*1)</f>
        <v>0</v>
      </c>
      <c r="N85" s="97">
        <f ca="1">TblImps[[#This Row],[Land]]</f>
        <v>250</v>
      </c>
      <c r="O85" s="308" t="s">
        <v>4</v>
      </c>
      <c r="P85" s="309"/>
      <c r="Q85" s="308" t="s">
        <v>216</v>
      </c>
      <c r="R85" s="308" t="s">
        <v>7</v>
      </c>
      <c r="S85" s="309"/>
      <c r="T85" s="308" t="s">
        <v>216</v>
      </c>
      <c r="U85" s="308" t="s">
        <v>3</v>
      </c>
      <c r="V85" s="309"/>
      <c r="W85" s="308" t="s">
        <v>216</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44874.374999999804</v>
      </c>
      <c r="BZ85" s="317">
        <f ca="1">OFFSET(TblImps[[#This Row],[Servertime]],-1,0)+1/24</f>
        <v>44874.374999999804</v>
      </c>
      <c r="CA85" s="57"/>
      <c r="CB85" s="315"/>
      <c r="CC85" s="315"/>
    </row>
    <row r="86" spans="1:84" x14ac:dyDescent="0.2">
      <c r="A86" s="225">
        <f ca="1">TblConstr[[#This Row],[Land]]</f>
        <v>250</v>
      </c>
      <c r="B86" s="145"/>
      <c r="C86" s="97">
        <f ca="1">TblProd[[#This Row],[Platinum]]</f>
        <v>560061</v>
      </c>
      <c r="D86" s="97">
        <f ca="1">TblProd[[#This Row],[Lumber]]</f>
        <v>62715</v>
      </c>
      <c r="E86" s="97">
        <f ca="1">TblProd[[#This Row],[Ore]]</f>
        <v>0</v>
      </c>
      <c r="F86" s="97">
        <f ca="1">TblProd[[#This Row],[Gems]]</f>
        <v>10000</v>
      </c>
      <c r="G86" s="157"/>
      <c r="H86" s="97">
        <f ca="1">TblMili[[#This Row],[Draftees]]</f>
        <v>100</v>
      </c>
      <c r="I86" s="183">
        <f ca="1">TblPop[[#This Row],[Employment]]</f>
        <v>0.78508341511285573</v>
      </c>
      <c r="J86" s="183">
        <f ca="1">TblPop[[#This Row],[Total]]/TblPop[[#This Row],[Net max]]</f>
        <v>0.99151823579304499</v>
      </c>
      <c r="K86" s="306">
        <f>TblRezone[[#This Row],[Hour]]</f>
        <v>83</v>
      </c>
      <c r="L86" s="307">
        <f ca="1">TblImps[[#This Row],[Real time]]</f>
        <v>44874.416666666468</v>
      </c>
      <c r="M86" s="62">
        <f>IF(ISERROR(TblImps[[#This Row],[algorithm]]),0,TblImps[[#This Row],[algorithm]]*1)</f>
        <v>0</v>
      </c>
      <c r="N86" s="97">
        <f ca="1">TblImps[[#This Row],[Land]]</f>
        <v>250</v>
      </c>
      <c r="O86" s="308" t="s">
        <v>4</v>
      </c>
      <c r="P86" s="309"/>
      <c r="Q86" s="308" t="s">
        <v>216</v>
      </c>
      <c r="R86" s="308" t="s">
        <v>7</v>
      </c>
      <c r="S86" s="309"/>
      <c r="T86" s="308" t="s">
        <v>216</v>
      </c>
      <c r="U86" s="308" t="s">
        <v>3</v>
      </c>
      <c r="V86" s="309"/>
      <c r="W86" s="308" t="s">
        <v>216</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44874.416666666468</v>
      </c>
      <c r="BZ86" s="317">
        <f ca="1">OFFSET(TblImps[[#This Row],[Servertime]],-1,0)+1/24</f>
        <v>44874.416666666468</v>
      </c>
      <c r="CA86" s="57"/>
      <c r="CB86" s="315"/>
      <c r="CC86" s="315"/>
    </row>
    <row r="87" spans="1:84" x14ac:dyDescent="0.2">
      <c r="A87" s="225">
        <f ca="1">TblConstr[[#This Row],[Land]]</f>
        <v>250</v>
      </c>
      <c r="B87" s="145"/>
      <c r="C87" s="97">
        <f ca="1">TblProd[[#This Row],[Platinum]]</f>
        <v>565731</v>
      </c>
      <c r="D87" s="97">
        <f ca="1">TblProd[[#This Row],[Lumber]]</f>
        <v>63088</v>
      </c>
      <c r="E87" s="97">
        <f ca="1">TblProd[[#This Row],[Ore]]</f>
        <v>0</v>
      </c>
      <c r="F87" s="97">
        <f ca="1">TblProd[[#This Row],[Gems]]</f>
        <v>10000</v>
      </c>
      <c r="G87" s="157"/>
      <c r="H87" s="97">
        <f ca="1">TblMili[[#This Row],[Draftees]]</f>
        <v>100</v>
      </c>
      <c r="I87" s="183">
        <f ca="1">TblPop[[#This Row],[Employment]]</f>
        <v>0.78508341511285573</v>
      </c>
      <c r="J87" s="183">
        <f ca="1">TblPop[[#This Row],[Total]]/TblPop[[#This Row],[Net max]]</f>
        <v>0.99151823579304499</v>
      </c>
      <c r="K87" s="306">
        <f>TblRezone[[#This Row],[Hour]]</f>
        <v>84</v>
      </c>
      <c r="L87" s="307">
        <f ca="1">TblImps[[#This Row],[Real time]]</f>
        <v>44874.458333333132</v>
      </c>
      <c r="M87" s="62">
        <f>IF(ISERROR(TblImps[[#This Row],[algorithm]]),0,TblImps[[#This Row],[algorithm]]*1)</f>
        <v>0</v>
      </c>
      <c r="N87" s="97">
        <f ca="1">TblImps[[#This Row],[Land]]</f>
        <v>250</v>
      </c>
      <c r="O87" s="308" t="s">
        <v>4</v>
      </c>
      <c r="P87" s="309"/>
      <c r="Q87" s="308" t="s">
        <v>216</v>
      </c>
      <c r="R87" s="308" t="s">
        <v>7</v>
      </c>
      <c r="S87" s="309"/>
      <c r="T87" s="308" t="s">
        <v>216</v>
      </c>
      <c r="U87" s="308" t="s">
        <v>3</v>
      </c>
      <c r="V87" s="309"/>
      <c r="W87" s="308" t="s">
        <v>216</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44874.458333333132</v>
      </c>
      <c r="BZ87" s="317">
        <f ca="1">OFFSET(TblImps[[#This Row],[Servertime]],-1,0)+1/24</f>
        <v>44874.458333333132</v>
      </c>
      <c r="CA87" s="57"/>
      <c r="CB87" s="315"/>
      <c r="CC87" s="315"/>
    </row>
    <row r="88" spans="1:84" x14ac:dyDescent="0.2">
      <c r="A88" s="225">
        <f ca="1">TblConstr[[#This Row],[Land]]</f>
        <v>250</v>
      </c>
      <c r="B88" s="145"/>
      <c r="C88" s="97">
        <f ca="1">TblProd[[#This Row],[Platinum]]</f>
        <v>571401</v>
      </c>
      <c r="D88" s="97">
        <f ca="1">TblProd[[#This Row],[Lumber]]</f>
        <v>63457</v>
      </c>
      <c r="E88" s="97">
        <f ca="1">TblProd[[#This Row],[Ore]]</f>
        <v>0</v>
      </c>
      <c r="F88" s="97">
        <f ca="1">TblProd[[#This Row],[Gems]]</f>
        <v>10000</v>
      </c>
      <c r="G88" s="157"/>
      <c r="H88" s="97">
        <f ca="1">TblMili[[#This Row],[Draftees]]</f>
        <v>100</v>
      </c>
      <c r="I88" s="183">
        <f ca="1">TblPop[[#This Row],[Employment]]</f>
        <v>0.78508341511285573</v>
      </c>
      <c r="J88" s="183">
        <f ca="1">TblPop[[#This Row],[Total]]/TblPop[[#This Row],[Net max]]</f>
        <v>0.99151823579304499</v>
      </c>
      <c r="K88" s="306">
        <f>TblRezone[[#This Row],[Hour]]</f>
        <v>85</v>
      </c>
      <c r="L88" s="307">
        <f ca="1">TblImps[[#This Row],[Real time]]</f>
        <v>44874.499999999796</v>
      </c>
      <c r="M88" s="62">
        <f>IF(ISERROR(TblImps[[#This Row],[algorithm]]),0,TblImps[[#This Row],[algorithm]]*1)</f>
        <v>0</v>
      </c>
      <c r="N88" s="97">
        <f ca="1">TblImps[[#This Row],[Land]]</f>
        <v>250</v>
      </c>
      <c r="O88" s="308" t="s">
        <v>4</v>
      </c>
      <c r="P88" s="309"/>
      <c r="Q88" s="308" t="s">
        <v>216</v>
      </c>
      <c r="R88" s="308" t="s">
        <v>7</v>
      </c>
      <c r="S88" s="309"/>
      <c r="T88" s="308" t="s">
        <v>216</v>
      </c>
      <c r="U88" s="308" t="s">
        <v>3</v>
      </c>
      <c r="V88" s="309"/>
      <c r="W88" s="308" t="s">
        <v>216</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44874.499999999796</v>
      </c>
      <c r="BZ88" s="317">
        <f ca="1">OFFSET(TblImps[[#This Row],[Servertime]],-1,0)+1/24</f>
        <v>44874.499999999796</v>
      </c>
      <c r="CA88" s="57"/>
      <c r="CB88" s="315"/>
      <c r="CC88" s="315"/>
    </row>
    <row r="89" spans="1:84" x14ac:dyDescent="0.2">
      <c r="A89" s="225">
        <f ca="1">TblConstr[[#This Row],[Land]]</f>
        <v>250</v>
      </c>
      <c r="B89" s="145"/>
      <c r="C89" s="97">
        <f ca="1">TblProd[[#This Row],[Platinum]]</f>
        <v>577071</v>
      </c>
      <c r="D89" s="97">
        <f ca="1">TblProd[[#This Row],[Lumber]]</f>
        <v>63822</v>
      </c>
      <c r="E89" s="97">
        <f ca="1">TblProd[[#This Row],[Ore]]</f>
        <v>0</v>
      </c>
      <c r="F89" s="97">
        <f ca="1">TblProd[[#This Row],[Gems]]</f>
        <v>10000</v>
      </c>
      <c r="G89" s="157"/>
      <c r="H89" s="97">
        <f ca="1">TblMili[[#This Row],[Draftees]]</f>
        <v>100</v>
      </c>
      <c r="I89" s="183">
        <f ca="1">TblPop[[#This Row],[Employment]]</f>
        <v>0.78508341511285573</v>
      </c>
      <c r="J89" s="183">
        <f ca="1">TblPop[[#This Row],[Total]]/TblPop[[#This Row],[Net max]]</f>
        <v>0.99151823579304499</v>
      </c>
      <c r="K89" s="306">
        <f>TblRezone[[#This Row],[Hour]]</f>
        <v>86</v>
      </c>
      <c r="L89" s="307">
        <f ca="1">TblImps[[#This Row],[Real time]]</f>
        <v>44874.541666666461</v>
      </c>
      <c r="M89" s="62">
        <f>IF(ISERROR(TblImps[[#This Row],[algorithm]]),0,TblImps[[#This Row],[algorithm]]*1)</f>
        <v>0</v>
      </c>
      <c r="N89" s="97">
        <f ca="1">TblImps[[#This Row],[Land]]</f>
        <v>250</v>
      </c>
      <c r="O89" s="308" t="s">
        <v>2</v>
      </c>
      <c r="P89" s="309"/>
      <c r="Q89" s="308" t="s">
        <v>216</v>
      </c>
      <c r="R89" s="308" t="s">
        <v>7</v>
      </c>
      <c r="S89" s="309"/>
      <c r="T89" s="308" t="s">
        <v>216</v>
      </c>
      <c r="U89" s="308" t="s">
        <v>3</v>
      </c>
      <c r="V89" s="309"/>
      <c r="W89" s="308" t="s">
        <v>216</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44874.541666666461</v>
      </c>
      <c r="BZ89" s="317">
        <f ca="1">OFFSET(TblImps[[#This Row],[Servertime]],-1,0)+1/24</f>
        <v>44874.541666666461</v>
      </c>
      <c r="CA89" s="57"/>
      <c r="CB89" s="315"/>
      <c r="CC89" s="315"/>
      <c r="CD89" s="162"/>
    </row>
    <row r="90" spans="1:84" x14ac:dyDescent="0.2">
      <c r="A90" s="225">
        <f ca="1">TblConstr[[#This Row],[Land]]</f>
        <v>250</v>
      </c>
      <c r="B90" s="145"/>
      <c r="C90" s="97">
        <f ca="1">TblProd[[#This Row],[Platinum]]</f>
        <v>582741</v>
      </c>
      <c r="D90" s="97">
        <f ca="1">TblProd[[#This Row],[Lumber]]</f>
        <v>64184</v>
      </c>
      <c r="E90" s="97">
        <f ca="1">TblProd[[#This Row],[Ore]]</f>
        <v>0</v>
      </c>
      <c r="F90" s="97">
        <f ca="1">TblProd[[#This Row],[Gems]]</f>
        <v>10000</v>
      </c>
      <c r="G90" s="157"/>
      <c r="H90" s="97">
        <f ca="1">TblMili[[#This Row],[Draftees]]</f>
        <v>100</v>
      </c>
      <c r="I90" s="183">
        <f ca="1">TblPop[[#This Row],[Employment]]</f>
        <v>0.78508341511285573</v>
      </c>
      <c r="J90" s="183">
        <f ca="1">TblPop[[#This Row],[Total]]/TblPop[[#This Row],[Net max]]</f>
        <v>0.99151823579304499</v>
      </c>
      <c r="K90" s="306">
        <f>TblRezone[[#This Row],[Hour]]</f>
        <v>87</v>
      </c>
      <c r="L90" s="307">
        <f ca="1">TblImps[[#This Row],[Real time]]</f>
        <v>44874.583333333125</v>
      </c>
      <c r="M90" s="62">
        <f>IF(ISERROR(TblImps[[#This Row],[algorithm]]),0,TblImps[[#This Row],[algorithm]]*1)</f>
        <v>0</v>
      </c>
      <c r="N90" s="97">
        <f ca="1">TblImps[[#This Row],[Land]]</f>
        <v>250</v>
      </c>
      <c r="O90" s="308" t="s">
        <v>4</v>
      </c>
      <c r="P90" s="309"/>
      <c r="Q90" s="308" t="s">
        <v>216</v>
      </c>
      <c r="R90" s="308" t="s">
        <v>7</v>
      </c>
      <c r="S90" s="309"/>
      <c r="T90" s="308" t="s">
        <v>216</v>
      </c>
      <c r="U90" s="308" t="s">
        <v>3</v>
      </c>
      <c r="V90" s="309"/>
      <c r="W90" s="308" t="s">
        <v>216</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44874.583333333125</v>
      </c>
      <c r="BZ90" s="317">
        <f ca="1">OFFSET(TblImps[[#This Row],[Servertime]],-1,0)+1/24</f>
        <v>44874.583333333125</v>
      </c>
      <c r="CA90" s="320"/>
      <c r="CB90" s="315"/>
      <c r="CC90" s="315"/>
      <c r="CF90" s="318"/>
    </row>
    <row r="91" spans="1:84" x14ac:dyDescent="0.2">
      <c r="A91" s="225">
        <f ca="1">TblConstr[[#This Row],[Land]]</f>
        <v>250</v>
      </c>
      <c r="B91" s="145"/>
      <c r="C91" s="97">
        <f ca="1">TblProd[[#This Row],[Platinum]]</f>
        <v>588411</v>
      </c>
      <c r="D91" s="97">
        <f ca="1">TblProd[[#This Row],[Lumber]]</f>
        <v>64542</v>
      </c>
      <c r="E91" s="97">
        <f ca="1">TblProd[[#This Row],[Ore]]</f>
        <v>0</v>
      </c>
      <c r="F91" s="97">
        <f ca="1">TblProd[[#This Row],[Gems]]</f>
        <v>10000</v>
      </c>
      <c r="G91" s="157"/>
      <c r="H91" s="97">
        <f ca="1">TblMili[[#This Row],[Draftees]]</f>
        <v>100</v>
      </c>
      <c r="I91" s="183">
        <f ca="1">TblPop[[#This Row],[Employment]]</f>
        <v>0.78508341511285573</v>
      </c>
      <c r="J91" s="183">
        <f ca="1">TblPop[[#This Row],[Total]]/TblPop[[#This Row],[Net max]]</f>
        <v>0.99151823579304499</v>
      </c>
      <c r="K91" s="306">
        <f>TblRezone[[#This Row],[Hour]]</f>
        <v>88</v>
      </c>
      <c r="L91" s="307">
        <f ca="1">TblImps[[#This Row],[Real time]]</f>
        <v>44874.624999999789</v>
      </c>
      <c r="M91" s="62">
        <f>IF(ISERROR(TblImps[[#This Row],[algorithm]]),0,TblImps[[#This Row],[algorithm]]*1)</f>
        <v>0</v>
      </c>
      <c r="N91" s="97">
        <f ca="1">TblImps[[#This Row],[Land]]</f>
        <v>250</v>
      </c>
      <c r="O91" s="308" t="s">
        <v>4</v>
      </c>
      <c r="P91" s="309"/>
      <c r="Q91" s="308" t="s">
        <v>216</v>
      </c>
      <c r="R91" s="308" t="s">
        <v>7</v>
      </c>
      <c r="S91" s="309"/>
      <c r="T91" s="308" t="s">
        <v>216</v>
      </c>
      <c r="U91" s="308" t="s">
        <v>3</v>
      </c>
      <c r="V91" s="309"/>
      <c r="W91" s="308" t="s">
        <v>216</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44874.624999999789</v>
      </c>
      <c r="BZ91" s="317">
        <f ca="1">OFFSET(TblImps[[#This Row],[Servertime]],-1,0)+1/24</f>
        <v>44874.624999999789</v>
      </c>
      <c r="CA91" s="57"/>
      <c r="CB91" s="315"/>
      <c r="CC91" s="315"/>
      <c r="CF91" s="319"/>
    </row>
    <row r="92" spans="1:84" x14ac:dyDescent="0.2">
      <c r="A92" s="225">
        <f ca="1">TblConstr[[#This Row],[Land]]</f>
        <v>250</v>
      </c>
      <c r="B92" s="145"/>
      <c r="C92" s="97">
        <f ca="1">TblProd[[#This Row],[Platinum]]</f>
        <v>594081</v>
      </c>
      <c r="D92" s="97">
        <f ca="1">TblProd[[#This Row],[Lumber]]</f>
        <v>64897</v>
      </c>
      <c r="E92" s="97">
        <f ca="1">TblProd[[#This Row],[Ore]]</f>
        <v>0</v>
      </c>
      <c r="F92" s="97">
        <f ca="1">TblProd[[#This Row],[Gems]]</f>
        <v>10000</v>
      </c>
      <c r="G92" s="157"/>
      <c r="H92" s="97">
        <f ca="1">TblMili[[#This Row],[Draftees]]</f>
        <v>100</v>
      </c>
      <c r="I92" s="183">
        <f ca="1">TblPop[[#This Row],[Employment]]</f>
        <v>0.78508341511285573</v>
      </c>
      <c r="J92" s="183">
        <f ca="1">TblPop[[#This Row],[Total]]/TblPop[[#This Row],[Net max]]</f>
        <v>0.99151823579304499</v>
      </c>
      <c r="K92" s="306">
        <f>TblRezone[[#This Row],[Hour]]</f>
        <v>89</v>
      </c>
      <c r="L92" s="307">
        <f ca="1">TblImps[[#This Row],[Real time]]</f>
        <v>44874.666666666453</v>
      </c>
      <c r="M92" s="62">
        <f>IF(ISERROR(TblImps[[#This Row],[algorithm]]),0,TblImps[[#This Row],[algorithm]]*1)</f>
        <v>0</v>
      </c>
      <c r="N92" s="97">
        <f ca="1">TblImps[[#This Row],[Land]]</f>
        <v>250</v>
      </c>
      <c r="O92" s="308" t="s">
        <v>4</v>
      </c>
      <c r="P92" s="309"/>
      <c r="Q92" s="308" t="s">
        <v>216</v>
      </c>
      <c r="R92" s="308" t="s">
        <v>7</v>
      </c>
      <c r="S92" s="309"/>
      <c r="T92" s="308" t="s">
        <v>216</v>
      </c>
      <c r="U92" s="308" t="s">
        <v>3</v>
      </c>
      <c r="V92" s="309"/>
      <c r="W92" s="308" t="s">
        <v>216</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44874.666666666453</v>
      </c>
      <c r="BZ92" s="317">
        <f ca="1">OFFSET(TblImps[[#This Row],[Servertime]],-1,0)+1/24</f>
        <v>44874.666666666453</v>
      </c>
      <c r="CA92" s="57"/>
      <c r="CB92" s="315"/>
      <c r="CC92" s="315"/>
      <c r="CF92" s="318"/>
    </row>
    <row r="93" spans="1:84" x14ac:dyDescent="0.2">
      <c r="A93" s="225">
        <f ca="1">TblConstr[[#This Row],[Land]]</f>
        <v>250</v>
      </c>
      <c r="B93" s="145"/>
      <c r="C93" s="97">
        <f ca="1">TblProd[[#This Row],[Platinum]]</f>
        <v>599751</v>
      </c>
      <c r="D93" s="97">
        <f ca="1">TblProd[[#This Row],[Lumber]]</f>
        <v>65248</v>
      </c>
      <c r="E93" s="97">
        <f ca="1">TblProd[[#This Row],[Ore]]</f>
        <v>0</v>
      </c>
      <c r="F93" s="97">
        <f ca="1">TblProd[[#This Row],[Gems]]</f>
        <v>10000</v>
      </c>
      <c r="G93" s="157"/>
      <c r="H93" s="97">
        <f ca="1">TblMili[[#This Row],[Draftees]]</f>
        <v>100</v>
      </c>
      <c r="I93" s="183">
        <f ca="1">TblPop[[#This Row],[Employment]]</f>
        <v>0.78508341511285573</v>
      </c>
      <c r="J93" s="183">
        <f ca="1">TblPop[[#This Row],[Total]]/TblPop[[#This Row],[Net max]]</f>
        <v>0.99151823579304499</v>
      </c>
      <c r="K93" s="306">
        <f>TblRezone[[#This Row],[Hour]]</f>
        <v>90</v>
      </c>
      <c r="L93" s="307">
        <f ca="1">TblImps[[#This Row],[Real time]]</f>
        <v>44874.708333333117</v>
      </c>
      <c r="M93" s="62">
        <f>IF(ISERROR(TblImps[[#This Row],[algorithm]]),0,TblImps[[#This Row],[algorithm]]*1)</f>
        <v>0</v>
      </c>
      <c r="N93" s="97">
        <f ca="1">TblImps[[#This Row],[Land]]</f>
        <v>250</v>
      </c>
      <c r="O93" s="308" t="s">
        <v>4</v>
      </c>
      <c r="P93" s="309"/>
      <c r="Q93" s="308" t="s">
        <v>216</v>
      </c>
      <c r="R93" s="308" t="s">
        <v>7</v>
      </c>
      <c r="S93" s="309"/>
      <c r="T93" s="308" t="s">
        <v>216</v>
      </c>
      <c r="U93" s="308" t="s">
        <v>3</v>
      </c>
      <c r="V93" s="309"/>
      <c r="W93" s="308" t="s">
        <v>216</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44874.708333333117</v>
      </c>
      <c r="BZ93" s="317">
        <f ca="1">OFFSET(TblImps[[#This Row],[Servertime]],-1,0)+1/24</f>
        <v>44874.708333333117</v>
      </c>
      <c r="CA93" s="57"/>
      <c r="CB93" s="315"/>
      <c r="CC93" s="315"/>
      <c r="CF93" s="318"/>
    </row>
    <row r="94" spans="1:84" x14ac:dyDescent="0.2">
      <c r="A94" s="225">
        <f ca="1">TblConstr[[#This Row],[Land]]</f>
        <v>250</v>
      </c>
      <c r="B94" s="145"/>
      <c r="C94" s="97">
        <f ca="1">TblProd[[#This Row],[Platinum]]</f>
        <v>605421</v>
      </c>
      <c r="D94" s="97">
        <f ca="1">TblProd[[#This Row],[Lumber]]</f>
        <v>65596</v>
      </c>
      <c r="E94" s="97">
        <f ca="1">TblProd[[#This Row],[Ore]]</f>
        <v>0</v>
      </c>
      <c r="F94" s="97">
        <f ca="1">TblProd[[#This Row],[Gems]]</f>
        <v>10000</v>
      </c>
      <c r="G94" s="157"/>
      <c r="H94" s="97">
        <f ca="1">TblMili[[#This Row],[Draftees]]</f>
        <v>100</v>
      </c>
      <c r="I94" s="183">
        <f ca="1">TblPop[[#This Row],[Employment]]</f>
        <v>0.78508341511285573</v>
      </c>
      <c r="J94" s="183">
        <f ca="1">TblPop[[#This Row],[Total]]/TblPop[[#This Row],[Net max]]</f>
        <v>0.99151823579304499</v>
      </c>
      <c r="K94" s="306">
        <f>TblRezone[[#This Row],[Hour]]</f>
        <v>91</v>
      </c>
      <c r="L94" s="307">
        <f ca="1">TblImps[[#This Row],[Real time]]</f>
        <v>44874.749999999782</v>
      </c>
      <c r="M94" s="62">
        <f>IF(ISERROR(TblImps[[#This Row],[algorithm]]),0,TblImps[[#This Row],[algorithm]]*1)</f>
        <v>0</v>
      </c>
      <c r="N94" s="97">
        <f ca="1">TblImps[[#This Row],[Land]]</f>
        <v>250</v>
      </c>
      <c r="O94" s="308" t="s">
        <v>4</v>
      </c>
      <c r="P94" s="309"/>
      <c r="Q94" s="308" t="s">
        <v>216</v>
      </c>
      <c r="R94" s="308" t="s">
        <v>7</v>
      </c>
      <c r="S94" s="309"/>
      <c r="T94" s="308" t="s">
        <v>216</v>
      </c>
      <c r="U94" s="308" t="s">
        <v>3</v>
      </c>
      <c r="V94" s="309"/>
      <c r="W94" s="308" t="s">
        <v>216</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44874.749999999782</v>
      </c>
      <c r="BZ94" s="317">
        <f ca="1">OFFSET(TblImps[[#This Row],[Servertime]],-1,0)+1/24</f>
        <v>44874.749999999782</v>
      </c>
      <c r="CA94" s="57"/>
      <c r="CB94" s="315"/>
      <c r="CC94" s="315"/>
    </row>
    <row r="95" spans="1:84" x14ac:dyDescent="0.2">
      <c r="A95" s="225">
        <f ca="1">TblConstr[[#This Row],[Land]]</f>
        <v>250</v>
      </c>
      <c r="B95" s="145"/>
      <c r="C95" s="97">
        <f ca="1">TblProd[[#This Row],[Platinum]]</f>
        <v>611091</v>
      </c>
      <c r="D95" s="97">
        <f ca="1">TblProd[[#This Row],[Lumber]]</f>
        <v>65940</v>
      </c>
      <c r="E95" s="97">
        <f ca="1">TblProd[[#This Row],[Ore]]</f>
        <v>0</v>
      </c>
      <c r="F95" s="97">
        <f ca="1">TblProd[[#This Row],[Gems]]</f>
        <v>10000</v>
      </c>
      <c r="G95" s="157"/>
      <c r="H95" s="97">
        <f ca="1">TblMili[[#This Row],[Draftees]]</f>
        <v>100</v>
      </c>
      <c r="I95" s="183">
        <f ca="1">TblPop[[#This Row],[Employment]]</f>
        <v>0.78508341511285573</v>
      </c>
      <c r="J95" s="183">
        <f ca="1">TblPop[[#This Row],[Total]]/TblPop[[#This Row],[Net max]]</f>
        <v>0.99151823579304499</v>
      </c>
      <c r="K95" s="306">
        <f>TblRezone[[#This Row],[Hour]]</f>
        <v>92</v>
      </c>
      <c r="L95" s="307">
        <f ca="1">TblImps[[#This Row],[Real time]]</f>
        <v>44874.791666666446</v>
      </c>
      <c r="M95" s="62">
        <f>IF(ISERROR(TblImps[[#This Row],[algorithm]]),0,TblImps[[#This Row],[algorithm]]*1)</f>
        <v>0</v>
      </c>
      <c r="N95" s="97">
        <f ca="1">TblImps[[#This Row],[Land]]</f>
        <v>250</v>
      </c>
      <c r="O95" s="308" t="s">
        <v>4</v>
      </c>
      <c r="P95" s="309"/>
      <c r="Q95" s="308" t="s">
        <v>216</v>
      </c>
      <c r="R95" s="308" t="s">
        <v>7</v>
      </c>
      <c r="S95" s="309"/>
      <c r="T95" s="308" t="s">
        <v>216</v>
      </c>
      <c r="U95" s="308" t="s">
        <v>3</v>
      </c>
      <c r="V95" s="309"/>
      <c r="W95" s="308" t="s">
        <v>216</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44874.791666666446</v>
      </c>
      <c r="BZ95" s="317">
        <f ca="1">OFFSET(TblImps[[#This Row],[Servertime]],-1,0)+1/24</f>
        <v>44874.791666666446</v>
      </c>
      <c r="CA95" s="57"/>
      <c r="CB95" s="315"/>
      <c r="CC95" s="315"/>
    </row>
    <row r="96" spans="1:84" x14ac:dyDescent="0.2">
      <c r="A96" s="225">
        <f ca="1">TblConstr[[#This Row],[Land]]</f>
        <v>250</v>
      </c>
      <c r="B96" s="145"/>
      <c r="C96" s="97">
        <f ca="1">TblProd[[#This Row],[Platinum]]</f>
        <v>616761</v>
      </c>
      <c r="D96" s="97">
        <f ca="1">TblProd[[#This Row],[Lumber]]</f>
        <v>66281</v>
      </c>
      <c r="E96" s="97">
        <f ca="1">TblProd[[#This Row],[Ore]]</f>
        <v>0</v>
      </c>
      <c r="F96" s="97">
        <f ca="1">TblProd[[#This Row],[Gems]]</f>
        <v>10000</v>
      </c>
      <c r="G96" s="157"/>
      <c r="H96" s="97">
        <f ca="1">TblMili[[#This Row],[Draftees]]</f>
        <v>100</v>
      </c>
      <c r="I96" s="183">
        <f ca="1">TblPop[[#This Row],[Employment]]</f>
        <v>0.78508341511285573</v>
      </c>
      <c r="J96" s="183">
        <f ca="1">TblPop[[#This Row],[Total]]/TblPop[[#This Row],[Net max]]</f>
        <v>0.99151823579304499</v>
      </c>
      <c r="K96" s="306">
        <f>TblRezone[[#This Row],[Hour]]</f>
        <v>93</v>
      </c>
      <c r="L96" s="307">
        <f ca="1">TblImps[[#This Row],[Real time]]</f>
        <v>44874.83333333311</v>
      </c>
      <c r="M96" s="62">
        <f>IF(ISERROR(TblImps[[#This Row],[algorithm]]),0,TblImps[[#This Row],[algorithm]]*1)</f>
        <v>0</v>
      </c>
      <c r="N96" s="97">
        <f ca="1">TblImps[[#This Row],[Land]]</f>
        <v>250</v>
      </c>
      <c r="O96" s="308" t="s">
        <v>4</v>
      </c>
      <c r="P96" s="309"/>
      <c r="Q96" s="308" t="s">
        <v>216</v>
      </c>
      <c r="R96" s="308" t="s">
        <v>7</v>
      </c>
      <c r="S96" s="309"/>
      <c r="T96" s="308" t="s">
        <v>216</v>
      </c>
      <c r="U96" s="308" t="s">
        <v>3</v>
      </c>
      <c r="V96" s="309"/>
      <c r="W96" s="308" t="s">
        <v>216</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44874.83333333311</v>
      </c>
      <c r="BZ96" s="317">
        <f ca="1">OFFSET(TblImps[[#This Row],[Servertime]],-1,0)+1/24</f>
        <v>44874.83333333311</v>
      </c>
      <c r="CA96" s="57"/>
      <c r="CB96" s="315"/>
      <c r="CC96" s="315"/>
    </row>
    <row r="97" spans="1:82" x14ac:dyDescent="0.2">
      <c r="A97" s="225">
        <f ca="1">TblConstr[[#This Row],[Land]]</f>
        <v>250</v>
      </c>
      <c r="B97" s="145"/>
      <c r="C97" s="97">
        <f ca="1">TblProd[[#This Row],[Platinum]]</f>
        <v>622431</v>
      </c>
      <c r="D97" s="97">
        <f ca="1">TblProd[[#This Row],[Lumber]]</f>
        <v>66618</v>
      </c>
      <c r="E97" s="97">
        <f ca="1">TblProd[[#This Row],[Ore]]</f>
        <v>0</v>
      </c>
      <c r="F97" s="97">
        <f ca="1">TblProd[[#This Row],[Gems]]</f>
        <v>10000</v>
      </c>
      <c r="G97" s="157"/>
      <c r="H97" s="97">
        <f ca="1">TblMili[[#This Row],[Draftees]]</f>
        <v>100</v>
      </c>
      <c r="I97" s="183">
        <f ca="1">TblPop[[#This Row],[Employment]]</f>
        <v>0.78508341511285573</v>
      </c>
      <c r="J97" s="183">
        <f ca="1">TblPop[[#This Row],[Total]]/TblPop[[#This Row],[Net max]]</f>
        <v>0.99151823579304499</v>
      </c>
      <c r="K97" s="306">
        <f>TblRezone[[#This Row],[Hour]]</f>
        <v>94</v>
      </c>
      <c r="L97" s="307">
        <f ca="1">TblImps[[#This Row],[Real time]]</f>
        <v>44874.874999999774</v>
      </c>
      <c r="M97" s="62">
        <f>IF(ISERROR(TblImps[[#This Row],[algorithm]]),0,TblImps[[#This Row],[algorithm]]*1)</f>
        <v>0</v>
      </c>
      <c r="N97" s="97">
        <f ca="1">TblImps[[#This Row],[Land]]</f>
        <v>250</v>
      </c>
      <c r="O97" s="308" t="s">
        <v>4</v>
      </c>
      <c r="P97" s="309"/>
      <c r="Q97" s="308" t="s">
        <v>216</v>
      </c>
      <c r="R97" s="308" t="s">
        <v>7</v>
      </c>
      <c r="S97" s="309"/>
      <c r="T97" s="308" t="s">
        <v>216</v>
      </c>
      <c r="U97" s="308" t="s">
        <v>3</v>
      </c>
      <c r="V97" s="309"/>
      <c r="W97" s="308" t="s">
        <v>216</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44874.874999999774</v>
      </c>
      <c r="BZ97" s="317">
        <f ca="1">OFFSET(TblImps[[#This Row],[Servertime]],-1,0)+1/24</f>
        <v>44874.874999999774</v>
      </c>
      <c r="CA97" s="57"/>
      <c r="CB97" s="315"/>
      <c r="CC97" s="315"/>
    </row>
    <row r="98" spans="1:82" x14ac:dyDescent="0.2">
      <c r="A98" s="225">
        <f ca="1">TblConstr[[#This Row],[Land]]</f>
        <v>250</v>
      </c>
      <c r="B98" s="145"/>
      <c r="C98" s="97">
        <f ca="1">TblProd[[#This Row],[Platinum]]</f>
        <v>628101</v>
      </c>
      <c r="D98" s="97">
        <f ca="1">TblProd[[#This Row],[Lumber]]</f>
        <v>66952</v>
      </c>
      <c r="E98" s="97">
        <f ca="1">TblProd[[#This Row],[Ore]]</f>
        <v>0</v>
      </c>
      <c r="F98" s="97">
        <f ca="1">TblProd[[#This Row],[Gems]]</f>
        <v>10000</v>
      </c>
      <c r="G98" s="157"/>
      <c r="H98" s="97">
        <f ca="1">TblMili[[#This Row],[Draftees]]</f>
        <v>100</v>
      </c>
      <c r="I98" s="183">
        <f ca="1">TblPop[[#This Row],[Employment]]</f>
        <v>0.78508341511285573</v>
      </c>
      <c r="J98" s="183">
        <f ca="1">TblPop[[#This Row],[Total]]/TblPop[[#This Row],[Net max]]</f>
        <v>0.99151823579304499</v>
      </c>
      <c r="K98" s="306">
        <f>TblRezone[[#This Row],[Hour]]</f>
        <v>95</v>
      </c>
      <c r="L98" s="307">
        <f ca="1">TblImps[[#This Row],[Real time]]</f>
        <v>44874.916666666439</v>
      </c>
      <c r="M98" s="62">
        <f>IF(ISERROR(TblImps[[#This Row],[algorithm]]),0,TblImps[[#This Row],[algorithm]]*1)</f>
        <v>0</v>
      </c>
      <c r="N98" s="97">
        <f ca="1">TblImps[[#This Row],[Land]]</f>
        <v>250</v>
      </c>
      <c r="O98" s="308" t="s">
        <v>4</v>
      </c>
      <c r="P98" s="309"/>
      <c r="Q98" s="308" t="s">
        <v>216</v>
      </c>
      <c r="R98" s="308" t="s">
        <v>7</v>
      </c>
      <c r="S98" s="309"/>
      <c r="T98" s="308" t="s">
        <v>216</v>
      </c>
      <c r="U98" s="308" t="s">
        <v>3</v>
      </c>
      <c r="V98" s="309"/>
      <c r="W98" s="308" t="s">
        <v>216</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44874.916666666439</v>
      </c>
      <c r="BZ98" s="317">
        <f ca="1">OFFSET(TblImps[[#This Row],[Servertime]],-1,0)+1/24</f>
        <v>44874.916666666439</v>
      </c>
      <c r="CA98" s="57"/>
      <c r="CB98" s="315"/>
      <c r="CC98" s="315"/>
    </row>
    <row r="99" spans="1:82" x14ac:dyDescent="0.2">
      <c r="A99" s="225">
        <f ca="1">TblConstr[[#This Row],[Land]]</f>
        <v>250</v>
      </c>
      <c r="B99" s="145"/>
      <c r="C99" s="97">
        <f ca="1">TblProd[[#This Row],[Platinum]]</f>
        <v>633771</v>
      </c>
      <c r="D99" s="97">
        <f ca="1">TblProd[[#This Row],[Lumber]]</f>
        <v>67282</v>
      </c>
      <c r="E99" s="97">
        <f ca="1">TblProd[[#This Row],[Ore]]</f>
        <v>0</v>
      </c>
      <c r="F99" s="97">
        <f ca="1">TblProd[[#This Row],[Gems]]</f>
        <v>10000</v>
      </c>
      <c r="G99" s="157"/>
      <c r="H99" s="97">
        <f ca="1">TblMili[[#This Row],[Draftees]]</f>
        <v>100</v>
      </c>
      <c r="I99" s="183">
        <f ca="1">TblPop[[#This Row],[Employment]]</f>
        <v>0.78508341511285573</v>
      </c>
      <c r="J99" s="183">
        <f ca="1">TblPop[[#This Row],[Total]]/TblPop[[#This Row],[Net max]]</f>
        <v>0.99151823579304499</v>
      </c>
      <c r="K99" s="306">
        <f>TblRezone[[#This Row],[Hour]]</f>
        <v>96</v>
      </c>
      <c r="L99" s="307">
        <f ca="1">TblImps[[#This Row],[Real time]]</f>
        <v>44874.958333333103</v>
      </c>
      <c r="M99" s="62">
        <f>IF(ISERROR(TblImps[[#This Row],[algorithm]]),0,TblImps[[#This Row],[algorithm]]*1)</f>
        <v>0</v>
      </c>
      <c r="N99" s="97">
        <f ca="1">TblImps[[#This Row],[Land]]</f>
        <v>250</v>
      </c>
      <c r="O99" s="308" t="s">
        <v>4</v>
      </c>
      <c r="P99" s="309"/>
      <c r="Q99" s="308" t="s">
        <v>216</v>
      </c>
      <c r="R99" s="308" t="s">
        <v>7</v>
      </c>
      <c r="S99" s="309"/>
      <c r="T99" s="308" t="s">
        <v>216</v>
      </c>
      <c r="U99" s="308" t="s">
        <v>3</v>
      </c>
      <c r="V99" s="309"/>
      <c r="W99" s="308" t="s">
        <v>216</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44874.958333333103</v>
      </c>
      <c r="BZ99" s="317">
        <f ca="1">OFFSET(TblImps[[#This Row],[Servertime]],-1,0)+1/24</f>
        <v>44874.958333333103</v>
      </c>
      <c r="CA99" s="57"/>
      <c r="CB99" s="315"/>
      <c r="CC99" s="315"/>
    </row>
    <row r="100" spans="1:82" x14ac:dyDescent="0.2">
      <c r="A100" s="225">
        <f ca="1">TblConstr[[#This Row],[Land]]</f>
        <v>250</v>
      </c>
      <c r="B100" s="145"/>
      <c r="C100" s="97">
        <f ca="1">TblProd[[#This Row],[Platinum]]</f>
        <v>639441</v>
      </c>
      <c r="D100" s="97">
        <f ca="1">TblProd[[#This Row],[Lumber]]</f>
        <v>67609</v>
      </c>
      <c r="E100" s="97">
        <f ca="1">TblProd[[#This Row],[Ore]]</f>
        <v>0</v>
      </c>
      <c r="F100" s="97">
        <f ca="1">TblProd[[#This Row],[Gems]]</f>
        <v>10000</v>
      </c>
      <c r="G100" s="157"/>
      <c r="H100" s="97">
        <f ca="1">TblMili[[#This Row],[Draftees]]</f>
        <v>100</v>
      </c>
      <c r="I100" s="183">
        <f ca="1">TblPop[[#This Row],[Employment]]</f>
        <v>0.78508341511285573</v>
      </c>
      <c r="J100" s="183">
        <f ca="1">TblPop[[#This Row],[Total]]/TblPop[[#This Row],[Net max]]</f>
        <v>0.99151823579304499</v>
      </c>
      <c r="K100" s="306">
        <f>TblRezone[[#This Row],[Hour]]</f>
        <v>97</v>
      </c>
      <c r="L100" s="307">
        <f ca="1">TblImps[[#This Row],[Real time]]</f>
        <v>44874.999999999767</v>
      </c>
      <c r="M100" s="62">
        <f>IF(ISERROR(TblImps[[#This Row],[algorithm]]),0,TblImps[[#This Row],[algorithm]]*1)</f>
        <v>0</v>
      </c>
      <c r="N100" s="97">
        <f ca="1">TblImps[[#This Row],[Land]]</f>
        <v>250</v>
      </c>
      <c r="O100" s="308" t="s">
        <v>4</v>
      </c>
      <c r="P100" s="309"/>
      <c r="Q100" s="308" t="s">
        <v>216</v>
      </c>
      <c r="R100" s="308" t="s">
        <v>7</v>
      </c>
      <c r="S100" s="309"/>
      <c r="T100" s="308" t="s">
        <v>216</v>
      </c>
      <c r="U100" s="308" t="s">
        <v>3</v>
      </c>
      <c r="V100" s="309"/>
      <c r="W100" s="308" t="s">
        <v>216</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44874.999999999767</v>
      </c>
      <c r="BZ100" s="317">
        <f ca="1">OFFSET(TblImps[[#This Row],[Servertime]],-1,0)+1/24</f>
        <v>44874.999999999767</v>
      </c>
      <c r="CA100" s="57"/>
      <c r="CB100" s="315"/>
      <c r="CC100" s="315"/>
    </row>
    <row r="101" spans="1:82" x14ac:dyDescent="0.2">
      <c r="A101" s="225">
        <f ca="1">TblConstr[[#This Row],[Land]]</f>
        <v>250</v>
      </c>
      <c r="B101" s="145"/>
      <c r="C101" s="97">
        <f ca="1">TblProd[[#This Row],[Platinum]]</f>
        <v>645111</v>
      </c>
      <c r="D101" s="97">
        <f ca="1">TblProd[[#This Row],[Lumber]]</f>
        <v>67933</v>
      </c>
      <c r="E101" s="97">
        <f ca="1">TblProd[[#This Row],[Ore]]</f>
        <v>0</v>
      </c>
      <c r="F101" s="97">
        <f ca="1">TblProd[[#This Row],[Gems]]</f>
        <v>10000</v>
      </c>
      <c r="G101" s="157"/>
      <c r="H101" s="97">
        <f ca="1">TblMili[[#This Row],[Draftees]]</f>
        <v>100</v>
      </c>
      <c r="I101" s="183">
        <f ca="1">TblPop[[#This Row],[Employment]]</f>
        <v>0.78508341511285573</v>
      </c>
      <c r="J101" s="183">
        <f ca="1">TblPop[[#This Row],[Total]]/TblPop[[#This Row],[Net max]]</f>
        <v>0.99151823579304499</v>
      </c>
      <c r="K101" s="306">
        <f>TblRezone[[#This Row],[Hour]]</f>
        <v>98</v>
      </c>
      <c r="L101" s="307">
        <f ca="1">TblImps[[#This Row],[Real time]]</f>
        <v>44875.041666666431</v>
      </c>
      <c r="M101" s="62">
        <f>IF(ISERROR(TblImps[[#This Row],[algorithm]]),0,TblImps[[#This Row],[algorithm]]*1)</f>
        <v>0</v>
      </c>
      <c r="N101" s="97">
        <f ca="1">TblImps[[#This Row],[Land]]</f>
        <v>250</v>
      </c>
      <c r="O101" s="308" t="s">
        <v>4</v>
      </c>
      <c r="P101" s="309"/>
      <c r="Q101" s="308" t="s">
        <v>216</v>
      </c>
      <c r="R101" s="308" t="s">
        <v>7</v>
      </c>
      <c r="S101" s="309"/>
      <c r="T101" s="308" t="s">
        <v>216</v>
      </c>
      <c r="U101" s="308" t="s">
        <v>3</v>
      </c>
      <c r="V101" s="309"/>
      <c r="W101" s="308" t="s">
        <v>216</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44875.041666666431</v>
      </c>
      <c r="BZ101" s="317">
        <f ca="1">OFFSET(TblImps[[#This Row],[Servertime]],-1,0)+1/24</f>
        <v>44875.041666666431</v>
      </c>
      <c r="CA101" s="57"/>
      <c r="CB101" s="315"/>
      <c r="CC101" s="315"/>
    </row>
    <row r="102" spans="1:82" x14ac:dyDescent="0.2">
      <c r="A102" s="225">
        <f ca="1">TblConstr[[#This Row],[Land]]</f>
        <v>250</v>
      </c>
      <c r="B102" s="145"/>
      <c r="C102" s="97">
        <f ca="1">TblProd[[#This Row],[Platinum]]</f>
        <v>650781</v>
      </c>
      <c r="D102" s="97">
        <f ca="1">TblProd[[#This Row],[Lumber]]</f>
        <v>68254</v>
      </c>
      <c r="E102" s="97">
        <f ca="1">TblProd[[#This Row],[Ore]]</f>
        <v>0</v>
      </c>
      <c r="F102" s="97">
        <f ca="1">TblProd[[#This Row],[Gems]]</f>
        <v>10000</v>
      </c>
      <c r="G102" s="157"/>
      <c r="H102" s="97">
        <f ca="1">TblMili[[#This Row],[Draftees]]</f>
        <v>100</v>
      </c>
      <c r="I102" s="183">
        <f ca="1">TblPop[[#This Row],[Employment]]</f>
        <v>0.78508341511285573</v>
      </c>
      <c r="J102" s="183">
        <f ca="1">TblPop[[#This Row],[Total]]/TblPop[[#This Row],[Net max]]</f>
        <v>0.99151823579304499</v>
      </c>
      <c r="K102" s="306">
        <f>TblRezone[[#This Row],[Hour]]</f>
        <v>99</v>
      </c>
      <c r="L102" s="307">
        <f ca="1">TblImps[[#This Row],[Real time]]</f>
        <v>44875.083333333096</v>
      </c>
      <c r="M102" s="62">
        <f>IF(ISERROR(TblImps[[#This Row],[algorithm]]),0,TblImps[[#This Row],[algorithm]]*1)</f>
        <v>0</v>
      </c>
      <c r="N102" s="97">
        <f ca="1">TblImps[[#This Row],[Land]]</f>
        <v>250</v>
      </c>
      <c r="O102" s="308" t="s">
        <v>4</v>
      </c>
      <c r="P102" s="309"/>
      <c r="Q102" s="308" t="s">
        <v>216</v>
      </c>
      <c r="R102" s="308" t="s">
        <v>7</v>
      </c>
      <c r="S102" s="309"/>
      <c r="T102" s="308" t="s">
        <v>216</v>
      </c>
      <c r="U102" s="308" t="s">
        <v>3</v>
      </c>
      <c r="V102" s="309"/>
      <c r="W102" s="308" t="s">
        <v>216</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44875.083333333096</v>
      </c>
      <c r="BZ102" s="317">
        <f ca="1">OFFSET(TblImps[[#This Row],[Servertime]],-1,0)+1/24</f>
        <v>44875.083333333096</v>
      </c>
      <c r="CA102" s="57"/>
      <c r="CB102" s="315"/>
      <c r="CC102" s="315"/>
      <c r="CD102" s="45" t="s">
        <v>4</v>
      </c>
    </row>
    <row r="103" spans="1:82" x14ac:dyDescent="0.2">
      <c r="A103" s="225">
        <f ca="1">TblConstr[[#This Row],[Land]]</f>
        <v>250</v>
      </c>
      <c r="B103" s="145"/>
      <c r="C103" s="97">
        <f ca="1">TblProd[[#This Row],[Platinum]]</f>
        <v>656451</v>
      </c>
      <c r="D103" s="97">
        <f ca="1">TblProd[[#This Row],[Lumber]]</f>
        <v>68571</v>
      </c>
      <c r="E103" s="97">
        <f ca="1">TblProd[[#This Row],[Ore]]</f>
        <v>0</v>
      </c>
      <c r="F103" s="97">
        <f ca="1">TblProd[[#This Row],[Gems]]</f>
        <v>10000</v>
      </c>
      <c r="G103" s="157"/>
      <c r="H103" s="97">
        <f ca="1">TblMili[[#This Row],[Draftees]]</f>
        <v>100</v>
      </c>
      <c r="I103" s="183">
        <f ca="1">TblPop[[#This Row],[Employment]]</f>
        <v>0.78508341511285573</v>
      </c>
      <c r="J103" s="183">
        <f ca="1">TblPop[[#This Row],[Total]]/TblPop[[#This Row],[Net max]]</f>
        <v>0.99151823579304499</v>
      </c>
      <c r="K103" s="306">
        <f>TblRezone[[#This Row],[Hour]]</f>
        <v>100</v>
      </c>
      <c r="L103" s="307">
        <f ca="1">TblImps[[#This Row],[Real time]]</f>
        <v>44875.12499999976</v>
      </c>
      <c r="M103" s="62">
        <f>IF(ISERROR(TblImps[[#This Row],[algorithm]]),0,TblImps[[#This Row],[algorithm]]*1)</f>
        <v>0</v>
      </c>
      <c r="N103" s="97">
        <f ca="1">TblImps[[#This Row],[Land]]</f>
        <v>250</v>
      </c>
      <c r="O103" s="308" t="s">
        <v>4</v>
      </c>
      <c r="P103" s="309"/>
      <c r="Q103" s="308" t="s">
        <v>216</v>
      </c>
      <c r="R103" s="308" t="s">
        <v>7</v>
      </c>
      <c r="S103" s="309"/>
      <c r="T103" s="308" t="s">
        <v>216</v>
      </c>
      <c r="U103" s="308" t="s">
        <v>3</v>
      </c>
      <c r="V103" s="309"/>
      <c r="W103" s="308" t="s">
        <v>216</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44875.12499999976</v>
      </c>
      <c r="BZ103" s="317">
        <f ca="1">OFFSET(TblImps[[#This Row],[Servertime]],-1,0)+1/24</f>
        <v>44875.12499999976</v>
      </c>
      <c r="CA103" s="57"/>
      <c r="CB103" s="315"/>
      <c r="CC103" s="315"/>
      <c r="CD103" s="45" t="s">
        <v>7</v>
      </c>
    </row>
    <row r="104" spans="1:82" x14ac:dyDescent="0.2">
      <c r="A104" s="225">
        <f ca="1">TblConstr[[#This Row],[Land]]</f>
        <v>250</v>
      </c>
      <c r="B104" s="145"/>
      <c r="C104" s="97">
        <f ca="1">TblProd[[#This Row],[Platinum]]</f>
        <v>662121</v>
      </c>
      <c r="D104" s="97">
        <f ca="1">TblProd[[#This Row],[Lumber]]</f>
        <v>68885</v>
      </c>
      <c r="E104" s="97">
        <f ca="1">TblProd[[#This Row],[Ore]]</f>
        <v>0</v>
      </c>
      <c r="F104" s="97">
        <f ca="1">TblProd[[#This Row],[Gems]]</f>
        <v>10000</v>
      </c>
      <c r="G104" s="157"/>
      <c r="H104" s="97">
        <f ca="1">TblMili[[#This Row],[Draftees]]</f>
        <v>100</v>
      </c>
      <c r="I104" s="183">
        <f ca="1">TblPop[[#This Row],[Employment]]</f>
        <v>0.78508341511285573</v>
      </c>
      <c r="J104" s="183">
        <f ca="1">TblPop[[#This Row],[Total]]/TblPop[[#This Row],[Net max]]</f>
        <v>0.99151823579304499</v>
      </c>
      <c r="K104" s="306">
        <f>TblRezone[[#This Row],[Hour]]</f>
        <v>101</v>
      </c>
      <c r="L104" s="307">
        <f ca="1">TblImps[[#This Row],[Real time]]</f>
        <v>44875.166666666424</v>
      </c>
      <c r="M104" s="62">
        <f>IF(ISERROR(TblImps[[#This Row],[algorithm]]),0,TblImps[[#This Row],[algorithm]]*1)</f>
        <v>0</v>
      </c>
      <c r="N104" s="97">
        <f ca="1">TblImps[[#This Row],[Land]]</f>
        <v>250</v>
      </c>
      <c r="O104" s="308" t="s">
        <v>4</v>
      </c>
      <c r="P104" s="309"/>
      <c r="Q104" s="308" t="s">
        <v>216</v>
      </c>
      <c r="R104" s="308" t="s">
        <v>7</v>
      </c>
      <c r="S104" s="309"/>
      <c r="T104" s="308" t="s">
        <v>216</v>
      </c>
      <c r="U104" s="308" t="s">
        <v>3</v>
      </c>
      <c r="V104" s="309"/>
      <c r="W104" s="308" t="s">
        <v>216</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44875.166666666424</v>
      </c>
      <c r="BZ104" s="317">
        <f ca="1">OFFSET(TblImps[[#This Row],[Servertime]],-1,0)+1/24</f>
        <v>44875.166666666424</v>
      </c>
      <c r="CA104" s="57"/>
      <c r="CB104" s="315"/>
      <c r="CC104" s="315"/>
      <c r="CD104" s="45" t="s">
        <v>3</v>
      </c>
    </row>
    <row r="105" spans="1:82" x14ac:dyDescent="0.2">
      <c r="A105" s="225">
        <f ca="1">TblConstr[[#This Row],[Land]]</f>
        <v>250</v>
      </c>
      <c r="B105" s="145"/>
      <c r="C105" s="97">
        <f ca="1">TblProd[[#This Row],[Platinum]]</f>
        <v>667791</v>
      </c>
      <c r="D105" s="97">
        <f ca="1">TblProd[[#This Row],[Lumber]]</f>
        <v>69196</v>
      </c>
      <c r="E105" s="97">
        <f ca="1">TblProd[[#This Row],[Ore]]</f>
        <v>0</v>
      </c>
      <c r="F105" s="97">
        <f ca="1">TblProd[[#This Row],[Gems]]</f>
        <v>10000</v>
      </c>
      <c r="G105" s="157"/>
      <c r="H105" s="97">
        <f ca="1">TblMili[[#This Row],[Draftees]]</f>
        <v>100</v>
      </c>
      <c r="I105" s="183">
        <f ca="1">TblPop[[#This Row],[Employment]]</f>
        <v>0.78508341511285573</v>
      </c>
      <c r="J105" s="183">
        <f ca="1">TblPop[[#This Row],[Total]]/TblPop[[#This Row],[Net max]]</f>
        <v>0.99151823579304499</v>
      </c>
      <c r="K105" s="306">
        <f>TblRezone[[#This Row],[Hour]]</f>
        <v>102</v>
      </c>
      <c r="L105" s="307">
        <f ca="1">TblImps[[#This Row],[Real time]]</f>
        <v>44875.208333333088</v>
      </c>
      <c r="M105" s="62">
        <f>IF(ISERROR(TblImps[[#This Row],[algorithm]]),0,TblImps[[#This Row],[algorithm]]*1)</f>
        <v>0</v>
      </c>
      <c r="N105" s="97">
        <f ca="1">TblImps[[#This Row],[Land]]</f>
        <v>250</v>
      </c>
      <c r="O105" s="308" t="s">
        <v>4</v>
      </c>
      <c r="P105" s="309"/>
      <c r="Q105" s="308" t="s">
        <v>216</v>
      </c>
      <c r="R105" s="308" t="s">
        <v>7</v>
      </c>
      <c r="S105" s="309"/>
      <c r="T105" s="308" t="s">
        <v>216</v>
      </c>
      <c r="U105" s="308" t="s">
        <v>3</v>
      </c>
      <c r="V105" s="309"/>
      <c r="W105" s="308" t="s">
        <v>216</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44875.208333333088</v>
      </c>
      <c r="BZ105" s="317">
        <f ca="1">OFFSET(TblImps[[#This Row],[Servertime]],-1,0)+1/24</f>
        <v>44875.208333333088</v>
      </c>
      <c r="CA105" s="57"/>
      <c r="CB105" s="315"/>
      <c r="CC105" s="315"/>
      <c r="CD105" s="45" t="s">
        <v>2</v>
      </c>
    </row>
    <row r="106" spans="1:82" x14ac:dyDescent="0.2">
      <c r="A106" s="225">
        <f ca="1">TblConstr[[#This Row],[Land]]</f>
        <v>250</v>
      </c>
      <c r="B106" s="145"/>
      <c r="C106" s="97">
        <f ca="1">TblProd[[#This Row],[Platinum]]</f>
        <v>673461</v>
      </c>
      <c r="D106" s="97">
        <f ca="1">TblProd[[#This Row],[Lumber]]</f>
        <v>69504</v>
      </c>
      <c r="E106" s="97">
        <f ca="1">TblProd[[#This Row],[Ore]]</f>
        <v>0</v>
      </c>
      <c r="F106" s="97">
        <f ca="1">TblProd[[#This Row],[Gems]]</f>
        <v>10000</v>
      </c>
      <c r="G106" s="157"/>
      <c r="H106" s="97">
        <f ca="1">TblMili[[#This Row],[Draftees]]</f>
        <v>100</v>
      </c>
      <c r="I106" s="183">
        <f ca="1">TblPop[[#This Row],[Employment]]</f>
        <v>0.78508341511285573</v>
      </c>
      <c r="J106" s="183">
        <f ca="1">TblPop[[#This Row],[Total]]/TblPop[[#This Row],[Net max]]</f>
        <v>0.99151823579304499</v>
      </c>
      <c r="K106" s="306">
        <f>TblRezone[[#This Row],[Hour]]</f>
        <v>103</v>
      </c>
      <c r="L106" s="307">
        <f ca="1">TblImps[[#This Row],[Real time]]</f>
        <v>44875.249999999753</v>
      </c>
      <c r="M106" s="62">
        <f>IF(ISERROR(TblImps[[#This Row],[algorithm]]),0,TblImps[[#This Row],[algorithm]]*1)</f>
        <v>0</v>
      </c>
      <c r="N106" s="97">
        <f ca="1">TblImps[[#This Row],[Land]]</f>
        <v>250</v>
      </c>
      <c r="O106" s="308" t="s">
        <v>4</v>
      </c>
      <c r="P106" s="309"/>
      <c r="Q106" s="308" t="s">
        <v>216</v>
      </c>
      <c r="R106" s="308" t="s">
        <v>7</v>
      </c>
      <c r="S106" s="309"/>
      <c r="T106" s="308" t="s">
        <v>216</v>
      </c>
      <c r="U106" s="308" t="s">
        <v>3</v>
      </c>
      <c r="V106" s="309"/>
      <c r="W106" s="308" t="s">
        <v>216</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44875.249999999753</v>
      </c>
      <c r="BZ106" s="317">
        <f ca="1">OFFSET(TblImps[[#This Row],[Servertime]],-1,0)+1/24</f>
        <v>44875.249999999753</v>
      </c>
      <c r="CA106" s="57"/>
      <c r="CB106" s="315"/>
      <c r="CC106" s="315"/>
    </row>
    <row r="107" spans="1:82" x14ac:dyDescent="0.2">
      <c r="A107" s="225">
        <f ca="1">TblConstr[[#This Row],[Land]]</f>
        <v>250</v>
      </c>
      <c r="B107" s="145"/>
      <c r="C107" s="97">
        <f ca="1">TblProd[[#This Row],[Platinum]]</f>
        <v>679131</v>
      </c>
      <c r="D107" s="97">
        <f ca="1">TblProd[[#This Row],[Lumber]]</f>
        <v>69809</v>
      </c>
      <c r="E107" s="97">
        <f ca="1">TblProd[[#This Row],[Ore]]</f>
        <v>0</v>
      </c>
      <c r="F107" s="97">
        <f ca="1">TblProd[[#This Row],[Gems]]</f>
        <v>10000</v>
      </c>
      <c r="G107" s="157"/>
      <c r="H107" s="97">
        <f ca="1">TblMili[[#This Row],[Draftees]]</f>
        <v>100</v>
      </c>
      <c r="I107" s="183">
        <f ca="1">TblPop[[#This Row],[Employment]]</f>
        <v>0.78508341511285573</v>
      </c>
      <c r="J107" s="183">
        <f ca="1">TblPop[[#This Row],[Total]]/TblPop[[#This Row],[Net max]]</f>
        <v>0.99151823579304499</v>
      </c>
      <c r="K107" s="306">
        <f>TblRezone[[#This Row],[Hour]]</f>
        <v>104</v>
      </c>
      <c r="L107" s="307">
        <f ca="1">TblImps[[#This Row],[Real time]]</f>
        <v>44875.291666666417</v>
      </c>
      <c r="M107" s="62">
        <f>IF(ISERROR(TblImps[[#This Row],[algorithm]]),0,TblImps[[#This Row],[algorithm]]*1)</f>
        <v>0</v>
      </c>
      <c r="N107" s="97">
        <f ca="1">TblImps[[#This Row],[Land]]</f>
        <v>250</v>
      </c>
      <c r="O107" s="308" t="s">
        <v>4</v>
      </c>
      <c r="P107" s="309"/>
      <c r="Q107" s="308" t="s">
        <v>216</v>
      </c>
      <c r="R107" s="308" t="s">
        <v>7</v>
      </c>
      <c r="S107" s="309"/>
      <c r="T107" s="308" t="s">
        <v>216</v>
      </c>
      <c r="U107" s="308" t="s">
        <v>3</v>
      </c>
      <c r="V107" s="309"/>
      <c r="W107" s="308" t="s">
        <v>216</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44875.291666666417</v>
      </c>
      <c r="BZ107" s="317">
        <f ca="1">OFFSET(TblImps[[#This Row],[Servertime]],-1,0)+1/24</f>
        <v>44875.291666666417</v>
      </c>
      <c r="CA107" s="57"/>
      <c r="CB107" s="315"/>
      <c r="CC107" s="315"/>
      <c r="CD107" s="45" t="s">
        <v>214</v>
      </c>
    </row>
    <row r="108" spans="1:82" x14ac:dyDescent="0.2">
      <c r="A108" s="225">
        <f ca="1">TblConstr[[#This Row],[Land]]</f>
        <v>250</v>
      </c>
      <c r="B108" s="145"/>
      <c r="C108" s="97">
        <f ca="1">TblProd[[#This Row],[Platinum]]</f>
        <v>684801</v>
      </c>
      <c r="D108" s="97">
        <f ca="1">TblProd[[#This Row],[Lumber]]</f>
        <v>70111</v>
      </c>
      <c r="E108" s="97">
        <f ca="1">TblProd[[#This Row],[Ore]]</f>
        <v>0</v>
      </c>
      <c r="F108" s="97">
        <f ca="1">TblProd[[#This Row],[Gems]]</f>
        <v>10000</v>
      </c>
      <c r="G108" s="157"/>
      <c r="H108" s="97">
        <f ca="1">TblMili[[#This Row],[Draftees]]</f>
        <v>100</v>
      </c>
      <c r="I108" s="183">
        <f ca="1">TblPop[[#This Row],[Employment]]</f>
        <v>0.78508341511285573</v>
      </c>
      <c r="J108" s="183">
        <f ca="1">TblPop[[#This Row],[Total]]/TblPop[[#This Row],[Net max]]</f>
        <v>0.99151823579304499</v>
      </c>
      <c r="K108" s="306">
        <f>TblRezone[[#This Row],[Hour]]</f>
        <v>105</v>
      </c>
      <c r="L108" s="307">
        <f ca="1">TblImps[[#This Row],[Real time]]</f>
        <v>44875.333333333081</v>
      </c>
      <c r="M108" s="62">
        <f>IF(ISERROR(TblImps[[#This Row],[algorithm]]),0,TblImps[[#This Row],[algorithm]]*1)</f>
        <v>0</v>
      </c>
      <c r="N108" s="97">
        <f ca="1">TblImps[[#This Row],[Land]]</f>
        <v>250</v>
      </c>
      <c r="O108" s="308" t="s">
        <v>4</v>
      </c>
      <c r="P108" s="309"/>
      <c r="Q108" s="308" t="s">
        <v>216</v>
      </c>
      <c r="R108" s="308" t="s">
        <v>7</v>
      </c>
      <c r="S108" s="309"/>
      <c r="T108" s="308" t="s">
        <v>216</v>
      </c>
      <c r="U108" s="308" t="s">
        <v>3</v>
      </c>
      <c r="V108" s="309"/>
      <c r="W108" s="308" t="s">
        <v>216</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44875.333333333081</v>
      </c>
      <c r="BZ108" s="317">
        <f ca="1">OFFSET(TblImps[[#This Row],[Servertime]],-1,0)+1/24</f>
        <v>44875.333333333081</v>
      </c>
      <c r="CA108" s="57"/>
      <c r="CB108" s="315"/>
      <c r="CC108" s="315"/>
      <c r="CD108" s="45" t="s">
        <v>216</v>
      </c>
    </row>
    <row r="109" spans="1:82" x14ac:dyDescent="0.2">
      <c r="A109" s="225">
        <f ca="1">TblConstr[[#This Row],[Land]]</f>
        <v>250</v>
      </c>
      <c r="B109" s="145"/>
      <c r="C109" s="97">
        <f ca="1">TblProd[[#This Row],[Platinum]]</f>
        <v>690471</v>
      </c>
      <c r="D109" s="97">
        <f ca="1">TblProd[[#This Row],[Lumber]]</f>
        <v>70410</v>
      </c>
      <c r="E109" s="97">
        <f ca="1">TblProd[[#This Row],[Ore]]</f>
        <v>0</v>
      </c>
      <c r="F109" s="97">
        <f ca="1">TblProd[[#This Row],[Gems]]</f>
        <v>10000</v>
      </c>
      <c r="G109" s="157"/>
      <c r="H109" s="97">
        <f ca="1">TblMili[[#This Row],[Draftees]]</f>
        <v>100</v>
      </c>
      <c r="I109" s="183">
        <f ca="1">TblPop[[#This Row],[Employment]]</f>
        <v>0.78508341511285573</v>
      </c>
      <c r="J109" s="183">
        <f ca="1">TblPop[[#This Row],[Total]]/TblPop[[#This Row],[Net max]]</f>
        <v>0.99151823579304499</v>
      </c>
      <c r="K109" s="306">
        <f>TblRezone[[#This Row],[Hour]]</f>
        <v>106</v>
      </c>
      <c r="L109" s="307">
        <f ca="1">TblImps[[#This Row],[Real time]]</f>
        <v>44875.374999999745</v>
      </c>
      <c r="M109" s="62">
        <f>IF(ISERROR(TblImps[[#This Row],[algorithm]]),0,TblImps[[#This Row],[algorithm]]*1)</f>
        <v>0</v>
      </c>
      <c r="N109" s="97">
        <f ca="1">TblImps[[#This Row],[Land]]</f>
        <v>250</v>
      </c>
      <c r="O109" s="308" t="s">
        <v>4</v>
      </c>
      <c r="P109" s="309"/>
      <c r="Q109" s="308" t="s">
        <v>216</v>
      </c>
      <c r="R109" s="308" t="s">
        <v>7</v>
      </c>
      <c r="S109" s="309"/>
      <c r="T109" s="308" t="s">
        <v>216</v>
      </c>
      <c r="U109" s="308" t="s">
        <v>3</v>
      </c>
      <c r="V109" s="309"/>
      <c r="W109" s="308" t="s">
        <v>216</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44875.374999999745</v>
      </c>
      <c r="BZ109" s="317">
        <f ca="1">OFFSET(TblImps[[#This Row],[Servertime]],-1,0)+1/24</f>
        <v>44875.374999999745</v>
      </c>
      <c r="CA109" s="57"/>
      <c r="CB109" s="315"/>
      <c r="CC109" s="315"/>
      <c r="CD109" s="45" t="s">
        <v>217</v>
      </c>
    </row>
    <row r="110" spans="1:82" x14ac:dyDescent="0.2">
      <c r="A110" s="225">
        <f ca="1">TblConstr[[#This Row],[Land]]</f>
        <v>250</v>
      </c>
      <c r="B110" s="145"/>
      <c r="C110" s="97">
        <f ca="1">TblProd[[#This Row],[Platinum]]</f>
        <v>696141</v>
      </c>
      <c r="D110" s="97">
        <f ca="1">TblProd[[#This Row],[Lumber]]</f>
        <v>70706</v>
      </c>
      <c r="E110" s="97">
        <f ca="1">TblProd[[#This Row],[Ore]]</f>
        <v>0</v>
      </c>
      <c r="F110" s="97">
        <f ca="1">TblProd[[#This Row],[Gems]]</f>
        <v>10000</v>
      </c>
      <c r="G110" s="157"/>
      <c r="H110" s="97">
        <f ca="1">TblMili[[#This Row],[Draftees]]</f>
        <v>100</v>
      </c>
      <c r="I110" s="183">
        <f ca="1">TblPop[[#This Row],[Employment]]</f>
        <v>0.78508341511285573</v>
      </c>
      <c r="J110" s="183">
        <f ca="1">TblPop[[#This Row],[Total]]/TblPop[[#This Row],[Net max]]</f>
        <v>0.99151823579304499</v>
      </c>
      <c r="K110" s="306">
        <f>TblRezone[[#This Row],[Hour]]</f>
        <v>107</v>
      </c>
      <c r="L110" s="307">
        <f ca="1">TblImps[[#This Row],[Real time]]</f>
        <v>44875.41666666641</v>
      </c>
      <c r="M110" s="62">
        <f>IF(ISERROR(TblImps[[#This Row],[algorithm]]),0,TblImps[[#This Row],[algorithm]]*1)</f>
        <v>0</v>
      </c>
      <c r="N110" s="97">
        <f ca="1">TblImps[[#This Row],[Land]]</f>
        <v>250</v>
      </c>
      <c r="O110" s="308" t="s">
        <v>4</v>
      </c>
      <c r="P110" s="309"/>
      <c r="Q110" s="308" t="s">
        <v>216</v>
      </c>
      <c r="R110" s="308" t="s">
        <v>7</v>
      </c>
      <c r="S110" s="309"/>
      <c r="T110" s="308" t="s">
        <v>216</v>
      </c>
      <c r="U110" s="308" t="s">
        <v>3</v>
      </c>
      <c r="V110" s="309"/>
      <c r="W110" s="308" t="s">
        <v>216</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44875.41666666641</v>
      </c>
      <c r="BZ110" s="317">
        <f ca="1">OFFSET(TblImps[[#This Row],[Servertime]],-1,0)+1/24</f>
        <v>44875.41666666641</v>
      </c>
      <c r="CA110" s="57"/>
      <c r="CB110" s="315"/>
      <c r="CC110" s="315"/>
      <c r="CD110" s="45" t="s">
        <v>218</v>
      </c>
    </row>
    <row r="111" spans="1:82" x14ac:dyDescent="0.2">
      <c r="A111" s="225">
        <f ca="1">TblConstr[[#This Row],[Land]]</f>
        <v>250</v>
      </c>
      <c r="B111" s="145"/>
      <c r="C111" s="97">
        <f ca="1">TblProd[[#This Row],[Platinum]]</f>
        <v>701811</v>
      </c>
      <c r="D111" s="97">
        <f ca="1">TblProd[[#This Row],[Lumber]]</f>
        <v>70999</v>
      </c>
      <c r="E111" s="97">
        <f ca="1">TblProd[[#This Row],[Ore]]</f>
        <v>0</v>
      </c>
      <c r="F111" s="97">
        <f ca="1">TblProd[[#This Row],[Gems]]</f>
        <v>10000</v>
      </c>
      <c r="G111" s="157"/>
      <c r="H111" s="97">
        <f ca="1">TblMili[[#This Row],[Draftees]]</f>
        <v>100</v>
      </c>
      <c r="I111" s="183">
        <f ca="1">TblPop[[#This Row],[Employment]]</f>
        <v>0.78508341511285573</v>
      </c>
      <c r="J111" s="183">
        <f ca="1">TblPop[[#This Row],[Total]]/TblPop[[#This Row],[Net max]]</f>
        <v>0.99151823579304499</v>
      </c>
      <c r="K111" s="306">
        <f>TblRezone[[#This Row],[Hour]]</f>
        <v>108</v>
      </c>
      <c r="L111" s="307">
        <f ca="1">TblImps[[#This Row],[Real time]]</f>
        <v>44875.458333333074</v>
      </c>
      <c r="M111" s="62">
        <f>IF(ISERROR(TblImps[[#This Row],[algorithm]]),0,TblImps[[#This Row],[algorithm]]*1)</f>
        <v>0</v>
      </c>
      <c r="N111" s="97">
        <f ca="1">TblImps[[#This Row],[Land]]</f>
        <v>250</v>
      </c>
      <c r="O111" s="308" t="s">
        <v>4</v>
      </c>
      <c r="P111" s="309"/>
      <c r="Q111" s="308" t="s">
        <v>216</v>
      </c>
      <c r="R111" s="308" t="s">
        <v>7</v>
      </c>
      <c r="S111" s="309"/>
      <c r="T111" s="308" t="s">
        <v>216</v>
      </c>
      <c r="U111" s="308" t="s">
        <v>3</v>
      </c>
      <c r="V111" s="309"/>
      <c r="W111" s="308" t="s">
        <v>216</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44875.458333333074</v>
      </c>
      <c r="BZ111" s="317">
        <f ca="1">OFFSET(TblImps[[#This Row],[Servertime]],-1,0)+1/24</f>
        <v>44875.458333333074</v>
      </c>
      <c r="CA111" s="57"/>
      <c r="CB111" s="315"/>
      <c r="CC111" s="315"/>
      <c r="CD111" s="45" t="s">
        <v>219</v>
      </c>
    </row>
    <row r="112" spans="1:82" x14ac:dyDescent="0.2">
      <c r="A112" s="225">
        <f ca="1">TblConstr[[#This Row],[Land]]</f>
        <v>250</v>
      </c>
      <c r="B112" s="145"/>
      <c r="C112" s="97">
        <f ca="1">TblProd[[#This Row],[Platinum]]</f>
        <v>707481</v>
      </c>
      <c r="D112" s="97">
        <f ca="1">TblProd[[#This Row],[Lumber]]</f>
        <v>71289</v>
      </c>
      <c r="E112" s="97">
        <f ca="1">TblProd[[#This Row],[Ore]]</f>
        <v>0</v>
      </c>
      <c r="F112" s="97">
        <f ca="1">TblProd[[#This Row],[Gems]]</f>
        <v>10000</v>
      </c>
      <c r="G112" s="157"/>
      <c r="H112" s="97">
        <f ca="1">TblMili[[#This Row],[Draftees]]</f>
        <v>100</v>
      </c>
      <c r="I112" s="183">
        <f ca="1">TblPop[[#This Row],[Employment]]</f>
        <v>0.78508341511285573</v>
      </c>
      <c r="J112" s="183">
        <f ca="1">TblPop[[#This Row],[Total]]/TblPop[[#This Row],[Net max]]</f>
        <v>0.99151823579304499</v>
      </c>
      <c r="K112" s="306">
        <f>TblRezone[[#This Row],[Hour]]</f>
        <v>109</v>
      </c>
      <c r="L112" s="307">
        <f ca="1">TblImps[[#This Row],[Real time]]</f>
        <v>44875.499999999738</v>
      </c>
      <c r="M112" s="62">
        <f>IF(ISERROR(TblImps[[#This Row],[algorithm]]),0,TblImps[[#This Row],[algorithm]]*1)</f>
        <v>0</v>
      </c>
      <c r="N112" s="97">
        <f ca="1">TblImps[[#This Row],[Land]]</f>
        <v>250</v>
      </c>
      <c r="O112" s="308" t="s">
        <v>4</v>
      </c>
      <c r="P112" s="309"/>
      <c r="Q112" s="308" t="s">
        <v>216</v>
      </c>
      <c r="R112" s="308" t="s">
        <v>7</v>
      </c>
      <c r="S112" s="309"/>
      <c r="T112" s="308" t="s">
        <v>216</v>
      </c>
      <c r="U112" s="308" t="s">
        <v>3</v>
      </c>
      <c r="V112" s="309"/>
      <c r="W112" s="308" t="s">
        <v>216</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44875.499999999738</v>
      </c>
      <c r="BZ112" s="317">
        <f ca="1">OFFSET(TblImps[[#This Row],[Servertime]],-1,0)+1/24</f>
        <v>44875.499999999738</v>
      </c>
      <c r="CA112" s="57"/>
      <c r="CB112" s="315"/>
      <c r="CC112" s="315"/>
      <c r="CD112" s="45" t="s">
        <v>220</v>
      </c>
    </row>
    <row r="113" spans="1:81" x14ac:dyDescent="0.2">
      <c r="A113" s="225">
        <f ca="1">TblConstr[[#This Row],[Land]]</f>
        <v>250</v>
      </c>
      <c r="B113" s="145"/>
      <c r="C113" s="97">
        <f ca="1">TblProd[[#This Row],[Platinum]]</f>
        <v>713151</v>
      </c>
      <c r="D113" s="97">
        <f ca="1">TblProd[[#This Row],[Lumber]]</f>
        <v>71576</v>
      </c>
      <c r="E113" s="97">
        <f ca="1">TblProd[[#This Row],[Ore]]</f>
        <v>0</v>
      </c>
      <c r="F113" s="97">
        <f ca="1">TblProd[[#This Row],[Gems]]</f>
        <v>10000</v>
      </c>
      <c r="G113" s="157"/>
      <c r="H113" s="97">
        <f ca="1">TblMili[[#This Row],[Draftees]]</f>
        <v>100</v>
      </c>
      <c r="I113" s="183">
        <f ca="1">TblPop[[#This Row],[Employment]]</f>
        <v>0.78508341511285573</v>
      </c>
      <c r="J113" s="183">
        <f ca="1">TblPop[[#This Row],[Total]]/TblPop[[#This Row],[Net max]]</f>
        <v>0.99151823579304499</v>
      </c>
      <c r="K113" s="306">
        <f>TblRezone[[#This Row],[Hour]]</f>
        <v>110</v>
      </c>
      <c r="L113" s="307">
        <f ca="1">TblImps[[#This Row],[Real time]]</f>
        <v>44875.541666666402</v>
      </c>
      <c r="M113" s="62">
        <f>IF(ISERROR(TblImps[[#This Row],[algorithm]]),0,TblImps[[#This Row],[algorithm]]*1)</f>
        <v>0</v>
      </c>
      <c r="N113" s="97">
        <f ca="1">TblImps[[#This Row],[Land]]</f>
        <v>250</v>
      </c>
      <c r="O113" s="308" t="s">
        <v>4</v>
      </c>
      <c r="P113" s="309"/>
      <c r="Q113" s="308" t="s">
        <v>216</v>
      </c>
      <c r="R113" s="308" t="s">
        <v>7</v>
      </c>
      <c r="S113" s="309"/>
      <c r="T113" s="308" t="s">
        <v>216</v>
      </c>
      <c r="U113" s="308" t="s">
        <v>3</v>
      </c>
      <c r="V113" s="309"/>
      <c r="W113" s="308" t="s">
        <v>216</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44875.541666666402</v>
      </c>
      <c r="BZ113" s="317">
        <f ca="1">OFFSET(TblImps[[#This Row],[Servertime]],-1,0)+1/24</f>
        <v>44875.541666666402</v>
      </c>
      <c r="CA113" s="57"/>
      <c r="CB113" s="315"/>
      <c r="CC113" s="315"/>
    </row>
    <row r="114" spans="1:81" x14ac:dyDescent="0.2">
      <c r="A114" s="225">
        <f ca="1">TblConstr[[#This Row],[Land]]</f>
        <v>250</v>
      </c>
      <c r="B114" s="145"/>
      <c r="C114" s="97">
        <f ca="1">TblProd[[#This Row],[Platinum]]</f>
        <v>718821</v>
      </c>
      <c r="D114" s="97">
        <f ca="1">TblProd[[#This Row],[Lumber]]</f>
        <v>71860</v>
      </c>
      <c r="E114" s="97">
        <f ca="1">TblProd[[#This Row],[Ore]]</f>
        <v>0</v>
      </c>
      <c r="F114" s="97">
        <f ca="1">TblProd[[#This Row],[Gems]]</f>
        <v>10000</v>
      </c>
      <c r="G114" s="157"/>
      <c r="H114" s="97">
        <f ca="1">TblMili[[#This Row],[Draftees]]</f>
        <v>100</v>
      </c>
      <c r="I114" s="183">
        <f ca="1">TblPop[[#This Row],[Employment]]</f>
        <v>0.78508341511285573</v>
      </c>
      <c r="J114" s="183">
        <f ca="1">TblPop[[#This Row],[Total]]/TblPop[[#This Row],[Net max]]</f>
        <v>0.99151823579304499</v>
      </c>
      <c r="K114" s="306">
        <f>TblRezone[[#This Row],[Hour]]</f>
        <v>111</v>
      </c>
      <c r="L114" s="307">
        <f ca="1">TblImps[[#This Row],[Real time]]</f>
        <v>44875.583333333067</v>
      </c>
      <c r="M114" s="62">
        <f>IF(ISERROR(TblImps[[#This Row],[algorithm]]),0,TblImps[[#This Row],[algorithm]]*1)</f>
        <v>0</v>
      </c>
      <c r="N114" s="97">
        <f ca="1">TblImps[[#This Row],[Land]]</f>
        <v>250</v>
      </c>
      <c r="O114" s="308" t="s">
        <v>4</v>
      </c>
      <c r="P114" s="309"/>
      <c r="Q114" s="308" t="s">
        <v>216</v>
      </c>
      <c r="R114" s="308" t="s">
        <v>7</v>
      </c>
      <c r="S114" s="309"/>
      <c r="T114" s="308" t="s">
        <v>216</v>
      </c>
      <c r="U114" s="308" t="s">
        <v>3</v>
      </c>
      <c r="V114" s="309"/>
      <c r="W114" s="308" t="s">
        <v>216</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44875.583333333067</v>
      </c>
      <c r="BZ114" s="317">
        <f ca="1">OFFSET(TblImps[[#This Row],[Servertime]],-1,0)+1/24</f>
        <v>44875.583333333067</v>
      </c>
      <c r="CA114" s="320"/>
      <c r="CB114" s="315"/>
      <c r="CC114" s="315"/>
    </row>
    <row r="115" spans="1:81" x14ac:dyDescent="0.2">
      <c r="A115" s="225">
        <f ca="1">TblConstr[[#This Row],[Land]]</f>
        <v>250</v>
      </c>
      <c r="B115" s="145"/>
      <c r="C115" s="97">
        <f ca="1">TblProd[[#This Row],[Platinum]]</f>
        <v>724491</v>
      </c>
      <c r="D115" s="97">
        <f ca="1">TblProd[[#This Row],[Lumber]]</f>
        <v>72141</v>
      </c>
      <c r="E115" s="97">
        <f ca="1">TblProd[[#This Row],[Ore]]</f>
        <v>0</v>
      </c>
      <c r="F115" s="97">
        <f ca="1">TblProd[[#This Row],[Gems]]</f>
        <v>10000</v>
      </c>
      <c r="G115" s="157"/>
      <c r="H115" s="97">
        <f ca="1">TblMili[[#This Row],[Draftees]]</f>
        <v>100</v>
      </c>
      <c r="I115" s="183">
        <f ca="1">TblPop[[#This Row],[Employment]]</f>
        <v>0.78508341511285573</v>
      </c>
      <c r="J115" s="183">
        <f ca="1">TblPop[[#This Row],[Total]]/TblPop[[#This Row],[Net max]]</f>
        <v>0.99151823579304499</v>
      </c>
      <c r="K115" s="306">
        <f>TblRezone[[#This Row],[Hour]]</f>
        <v>112</v>
      </c>
      <c r="L115" s="307">
        <f ca="1">TblImps[[#This Row],[Real time]]</f>
        <v>44875.624999999731</v>
      </c>
      <c r="M115" s="62">
        <f>IF(ISERROR(TblImps[[#This Row],[algorithm]]),0,TblImps[[#This Row],[algorithm]]*1)</f>
        <v>0</v>
      </c>
      <c r="N115" s="97">
        <f ca="1">TblImps[[#This Row],[Land]]</f>
        <v>250</v>
      </c>
      <c r="O115" s="308" t="s">
        <v>4</v>
      </c>
      <c r="P115" s="309"/>
      <c r="Q115" s="308" t="s">
        <v>216</v>
      </c>
      <c r="R115" s="308" t="s">
        <v>7</v>
      </c>
      <c r="S115" s="309"/>
      <c r="T115" s="308" t="s">
        <v>216</v>
      </c>
      <c r="U115" s="308" t="s">
        <v>3</v>
      </c>
      <c r="V115" s="309"/>
      <c r="W115" s="308" t="s">
        <v>216</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44875.624999999731</v>
      </c>
      <c r="BZ115" s="317">
        <f ca="1">OFFSET(TblImps[[#This Row],[Servertime]],-1,0)+1/24</f>
        <v>44875.624999999731</v>
      </c>
      <c r="CA115" s="57"/>
      <c r="CB115" s="315"/>
      <c r="CC115" s="315"/>
    </row>
    <row r="116" spans="1:81" x14ac:dyDescent="0.2">
      <c r="A116" s="225">
        <f ca="1">TblConstr[[#This Row],[Land]]</f>
        <v>250</v>
      </c>
      <c r="B116" s="145"/>
      <c r="C116" s="97">
        <f ca="1">TblProd[[#This Row],[Platinum]]</f>
        <v>730161</v>
      </c>
      <c r="D116" s="97">
        <f ca="1">TblProd[[#This Row],[Lumber]]</f>
        <v>72420</v>
      </c>
      <c r="E116" s="97">
        <f ca="1">TblProd[[#This Row],[Ore]]</f>
        <v>0</v>
      </c>
      <c r="F116" s="97">
        <f ca="1">TblProd[[#This Row],[Gems]]</f>
        <v>10000</v>
      </c>
      <c r="G116" s="157"/>
      <c r="H116" s="97">
        <f ca="1">TblMili[[#This Row],[Draftees]]</f>
        <v>100</v>
      </c>
      <c r="I116" s="183">
        <f ca="1">TblPop[[#This Row],[Employment]]</f>
        <v>0.78508341511285573</v>
      </c>
      <c r="J116" s="183">
        <f ca="1">TblPop[[#This Row],[Total]]/TblPop[[#This Row],[Net max]]</f>
        <v>0.99151823579304499</v>
      </c>
      <c r="K116" s="306">
        <f>TblRezone[[#This Row],[Hour]]</f>
        <v>113</v>
      </c>
      <c r="L116" s="307">
        <f ca="1">TblImps[[#This Row],[Real time]]</f>
        <v>44875.666666666395</v>
      </c>
      <c r="M116" s="62">
        <f>IF(ISERROR(TblImps[[#This Row],[algorithm]]),0,TblImps[[#This Row],[algorithm]]*1)</f>
        <v>0</v>
      </c>
      <c r="N116" s="97">
        <f ca="1">TblImps[[#This Row],[Land]]</f>
        <v>250</v>
      </c>
      <c r="O116" s="308" t="s">
        <v>4</v>
      </c>
      <c r="P116" s="309"/>
      <c r="Q116" s="308" t="s">
        <v>216</v>
      </c>
      <c r="R116" s="308" t="s">
        <v>7</v>
      </c>
      <c r="S116" s="309"/>
      <c r="T116" s="308" t="s">
        <v>216</v>
      </c>
      <c r="U116" s="308" t="s">
        <v>3</v>
      </c>
      <c r="V116" s="309"/>
      <c r="W116" s="308" t="s">
        <v>216</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44875.666666666395</v>
      </c>
      <c r="BZ116" s="317">
        <f ca="1">OFFSET(TblImps[[#This Row],[Servertime]],-1,0)+1/24</f>
        <v>44875.666666666395</v>
      </c>
      <c r="CA116" s="57"/>
      <c r="CB116" s="315"/>
      <c r="CC116" s="315"/>
    </row>
    <row r="117" spans="1:81" x14ac:dyDescent="0.2">
      <c r="A117" s="225">
        <f ca="1">TblConstr[[#This Row],[Land]]</f>
        <v>250</v>
      </c>
      <c r="B117" s="145"/>
      <c r="C117" s="97">
        <f ca="1">TblProd[[#This Row],[Platinum]]</f>
        <v>735831</v>
      </c>
      <c r="D117" s="97">
        <f ca="1">TblProd[[#This Row],[Lumber]]</f>
        <v>72696</v>
      </c>
      <c r="E117" s="97">
        <f ca="1">TblProd[[#This Row],[Ore]]</f>
        <v>0</v>
      </c>
      <c r="F117" s="97">
        <f ca="1">TblProd[[#This Row],[Gems]]</f>
        <v>10000</v>
      </c>
      <c r="G117" s="157"/>
      <c r="H117" s="97">
        <f ca="1">TblMili[[#This Row],[Draftees]]</f>
        <v>100</v>
      </c>
      <c r="I117" s="183">
        <f ca="1">TblPop[[#This Row],[Employment]]</f>
        <v>0.78508341511285573</v>
      </c>
      <c r="J117" s="183">
        <f ca="1">TblPop[[#This Row],[Total]]/TblPop[[#This Row],[Net max]]</f>
        <v>0.99151823579304499</v>
      </c>
      <c r="K117" s="306">
        <f>TblRezone[[#This Row],[Hour]]</f>
        <v>114</v>
      </c>
      <c r="L117" s="307">
        <f ca="1">TblImps[[#This Row],[Real time]]</f>
        <v>44875.708333333059</v>
      </c>
      <c r="M117" s="62">
        <f>IF(ISERROR(TblImps[[#This Row],[algorithm]]),0,TblImps[[#This Row],[algorithm]]*1)</f>
        <v>0</v>
      </c>
      <c r="N117" s="97">
        <f ca="1">TblImps[[#This Row],[Land]]</f>
        <v>250</v>
      </c>
      <c r="O117" s="308" t="s">
        <v>4</v>
      </c>
      <c r="P117" s="309"/>
      <c r="Q117" s="308" t="s">
        <v>216</v>
      </c>
      <c r="R117" s="308" t="s">
        <v>7</v>
      </c>
      <c r="S117" s="309"/>
      <c r="T117" s="308" t="s">
        <v>216</v>
      </c>
      <c r="U117" s="308" t="s">
        <v>3</v>
      </c>
      <c r="V117" s="309"/>
      <c r="W117" s="308" t="s">
        <v>216</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44875.708333333059</v>
      </c>
      <c r="BZ117" s="317">
        <f ca="1">OFFSET(TblImps[[#This Row],[Servertime]],-1,0)+1/24</f>
        <v>44875.708333333059</v>
      </c>
      <c r="CA117" s="57"/>
      <c r="CB117" s="315"/>
      <c r="CC117" s="315"/>
    </row>
    <row r="118" spans="1:81" x14ac:dyDescent="0.2">
      <c r="A118" s="225">
        <f ca="1">TblConstr[[#This Row],[Land]]</f>
        <v>250</v>
      </c>
      <c r="B118" s="145"/>
      <c r="C118" s="97">
        <f ca="1">TblProd[[#This Row],[Platinum]]</f>
        <v>741501</v>
      </c>
      <c r="D118" s="97">
        <f ca="1">TblProd[[#This Row],[Lumber]]</f>
        <v>72969</v>
      </c>
      <c r="E118" s="97">
        <f ca="1">TblProd[[#This Row],[Ore]]</f>
        <v>0</v>
      </c>
      <c r="F118" s="97">
        <f ca="1">TblProd[[#This Row],[Gems]]</f>
        <v>10000</v>
      </c>
      <c r="G118" s="157"/>
      <c r="H118" s="97">
        <f ca="1">TblMili[[#This Row],[Draftees]]</f>
        <v>100</v>
      </c>
      <c r="I118" s="183">
        <f ca="1">TblPop[[#This Row],[Employment]]</f>
        <v>0.78508341511285573</v>
      </c>
      <c r="J118" s="183">
        <f ca="1">TblPop[[#This Row],[Total]]/TblPop[[#This Row],[Net max]]</f>
        <v>0.99151823579304499</v>
      </c>
      <c r="K118" s="306">
        <f>TblRezone[[#This Row],[Hour]]</f>
        <v>115</v>
      </c>
      <c r="L118" s="307">
        <f ca="1">TblImps[[#This Row],[Real time]]</f>
        <v>44875.749999999724</v>
      </c>
      <c r="M118" s="62">
        <f>IF(ISERROR(TblImps[[#This Row],[algorithm]]),0,TblImps[[#This Row],[algorithm]]*1)</f>
        <v>0</v>
      </c>
      <c r="N118" s="97">
        <f ca="1">TblImps[[#This Row],[Land]]</f>
        <v>250</v>
      </c>
      <c r="O118" s="308" t="s">
        <v>4</v>
      </c>
      <c r="P118" s="309"/>
      <c r="Q118" s="308" t="s">
        <v>216</v>
      </c>
      <c r="R118" s="308" t="s">
        <v>7</v>
      </c>
      <c r="S118" s="309"/>
      <c r="T118" s="308" t="s">
        <v>216</v>
      </c>
      <c r="U118" s="308" t="s">
        <v>3</v>
      </c>
      <c r="V118" s="309"/>
      <c r="W118" s="308" t="s">
        <v>216</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44875.749999999724</v>
      </c>
      <c r="BZ118" s="317">
        <f ca="1">OFFSET(TblImps[[#This Row],[Servertime]],-1,0)+1/24</f>
        <v>44875.749999999724</v>
      </c>
      <c r="CA118" s="57"/>
      <c r="CB118" s="315"/>
      <c r="CC118" s="315"/>
    </row>
    <row r="119" spans="1:81" x14ac:dyDescent="0.2">
      <c r="A119" s="225">
        <f ca="1">TblConstr[[#This Row],[Land]]</f>
        <v>250</v>
      </c>
      <c r="B119" s="145"/>
      <c r="C119" s="97">
        <f ca="1">TblProd[[#This Row],[Platinum]]</f>
        <v>747171</v>
      </c>
      <c r="D119" s="97">
        <f ca="1">TblProd[[#This Row],[Lumber]]</f>
        <v>73239</v>
      </c>
      <c r="E119" s="97">
        <f ca="1">TblProd[[#This Row],[Ore]]</f>
        <v>0</v>
      </c>
      <c r="F119" s="97">
        <f ca="1">TblProd[[#This Row],[Gems]]</f>
        <v>10000</v>
      </c>
      <c r="G119" s="157"/>
      <c r="H119" s="97">
        <f ca="1">TblMili[[#This Row],[Draftees]]</f>
        <v>100</v>
      </c>
      <c r="I119" s="183">
        <f ca="1">TblPop[[#This Row],[Employment]]</f>
        <v>0.78508341511285573</v>
      </c>
      <c r="J119" s="183">
        <f ca="1">TblPop[[#This Row],[Total]]/TblPop[[#This Row],[Net max]]</f>
        <v>0.99151823579304499</v>
      </c>
      <c r="K119" s="306">
        <f>TblRezone[[#This Row],[Hour]]</f>
        <v>116</v>
      </c>
      <c r="L119" s="307">
        <f ca="1">TblImps[[#This Row],[Real time]]</f>
        <v>44875.791666666388</v>
      </c>
      <c r="M119" s="62">
        <f>IF(ISERROR(TblImps[[#This Row],[algorithm]]),0,TblImps[[#This Row],[algorithm]]*1)</f>
        <v>0</v>
      </c>
      <c r="N119" s="97">
        <f ca="1">TblImps[[#This Row],[Land]]</f>
        <v>250</v>
      </c>
      <c r="O119" s="308" t="s">
        <v>4</v>
      </c>
      <c r="P119" s="309"/>
      <c r="Q119" s="308" t="s">
        <v>216</v>
      </c>
      <c r="R119" s="308" t="s">
        <v>7</v>
      </c>
      <c r="S119" s="309"/>
      <c r="T119" s="308" t="s">
        <v>216</v>
      </c>
      <c r="U119" s="308" t="s">
        <v>3</v>
      </c>
      <c r="V119" s="309"/>
      <c r="W119" s="308" t="s">
        <v>216</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44875.791666666388</v>
      </c>
      <c r="BZ119" s="317">
        <f ca="1">OFFSET(TblImps[[#This Row],[Servertime]],-1,0)+1/24</f>
        <v>44875.791666666388</v>
      </c>
      <c r="CA119" s="57"/>
      <c r="CB119" s="315"/>
      <c r="CC119" s="315"/>
    </row>
    <row r="120" spans="1:81" x14ac:dyDescent="0.2">
      <c r="A120" s="225">
        <f ca="1">TblConstr[[#This Row],[Land]]</f>
        <v>250</v>
      </c>
      <c r="B120" s="145"/>
      <c r="C120" s="97">
        <f ca="1">TblProd[[#This Row],[Platinum]]</f>
        <v>752841</v>
      </c>
      <c r="D120" s="97">
        <f ca="1">TblProd[[#This Row],[Lumber]]</f>
        <v>73507</v>
      </c>
      <c r="E120" s="97">
        <f ca="1">TblProd[[#This Row],[Ore]]</f>
        <v>0</v>
      </c>
      <c r="F120" s="97">
        <f ca="1">TblProd[[#This Row],[Gems]]</f>
        <v>10000</v>
      </c>
      <c r="G120" s="157"/>
      <c r="H120" s="97">
        <f ca="1">TblMili[[#This Row],[Draftees]]</f>
        <v>100</v>
      </c>
      <c r="I120" s="183">
        <f ca="1">TblPop[[#This Row],[Employment]]</f>
        <v>0.78508341511285573</v>
      </c>
      <c r="J120" s="183">
        <f ca="1">TblPop[[#This Row],[Total]]/TblPop[[#This Row],[Net max]]</f>
        <v>0.99151823579304499</v>
      </c>
      <c r="K120" s="306">
        <f>TblRezone[[#This Row],[Hour]]</f>
        <v>117</v>
      </c>
      <c r="L120" s="307">
        <f ca="1">TblImps[[#This Row],[Real time]]</f>
        <v>44875.833333333052</v>
      </c>
      <c r="M120" s="62">
        <f>IF(ISERROR(TblImps[[#This Row],[algorithm]]),0,TblImps[[#This Row],[algorithm]]*1)</f>
        <v>0</v>
      </c>
      <c r="N120" s="97">
        <f ca="1">TblImps[[#This Row],[Land]]</f>
        <v>250</v>
      </c>
      <c r="O120" s="308" t="s">
        <v>4</v>
      </c>
      <c r="P120" s="309"/>
      <c r="Q120" s="308" t="s">
        <v>216</v>
      </c>
      <c r="R120" s="308" t="s">
        <v>7</v>
      </c>
      <c r="S120" s="309"/>
      <c r="T120" s="308" t="s">
        <v>216</v>
      </c>
      <c r="U120" s="308" t="s">
        <v>3</v>
      </c>
      <c r="V120" s="309"/>
      <c r="W120" s="308" t="s">
        <v>216</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44875.833333333052</v>
      </c>
      <c r="BZ120" s="317">
        <f ca="1">OFFSET(TblImps[[#This Row],[Servertime]],-1,0)+1/24</f>
        <v>44875.833333333052</v>
      </c>
      <c r="CA120" s="57"/>
      <c r="CB120" s="315"/>
      <c r="CC120" s="315"/>
    </row>
    <row r="121" spans="1:81" x14ac:dyDescent="0.2">
      <c r="A121" s="225">
        <f ca="1">TblConstr[[#This Row],[Land]]</f>
        <v>250</v>
      </c>
      <c r="B121" s="145"/>
      <c r="C121" s="97">
        <f ca="1">TblProd[[#This Row],[Platinum]]</f>
        <v>758511</v>
      </c>
      <c r="D121" s="97">
        <f ca="1">TblProd[[#This Row],[Lumber]]</f>
        <v>73772</v>
      </c>
      <c r="E121" s="97">
        <f ca="1">TblProd[[#This Row],[Ore]]</f>
        <v>0</v>
      </c>
      <c r="F121" s="97">
        <f ca="1">TblProd[[#This Row],[Gems]]</f>
        <v>10000</v>
      </c>
      <c r="G121" s="157"/>
      <c r="H121" s="97">
        <f ca="1">TblMili[[#This Row],[Draftees]]</f>
        <v>100</v>
      </c>
      <c r="I121" s="183">
        <f ca="1">TblPop[[#This Row],[Employment]]</f>
        <v>0.78508341511285573</v>
      </c>
      <c r="J121" s="183">
        <f ca="1">TblPop[[#This Row],[Total]]/TblPop[[#This Row],[Net max]]</f>
        <v>0.99151823579304499</v>
      </c>
      <c r="K121" s="306">
        <f>TblRezone[[#This Row],[Hour]]</f>
        <v>118</v>
      </c>
      <c r="L121" s="307">
        <f ca="1">TblImps[[#This Row],[Real time]]</f>
        <v>44875.874999999716</v>
      </c>
      <c r="M121" s="62">
        <f>IF(ISERROR(TblImps[[#This Row],[algorithm]]),0,TblImps[[#This Row],[algorithm]]*1)</f>
        <v>0</v>
      </c>
      <c r="N121" s="97">
        <f ca="1">TblImps[[#This Row],[Land]]</f>
        <v>250</v>
      </c>
      <c r="O121" s="308" t="s">
        <v>4</v>
      </c>
      <c r="P121" s="309"/>
      <c r="Q121" s="308" t="s">
        <v>216</v>
      </c>
      <c r="R121" s="308" t="s">
        <v>7</v>
      </c>
      <c r="S121" s="309"/>
      <c r="T121" s="308" t="s">
        <v>216</v>
      </c>
      <c r="U121" s="308" t="s">
        <v>3</v>
      </c>
      <c r="V121" s="309"/>
      <c r="W121" s="308" t="s">
        <v>216</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44875.874999999716</v>
      </c>
      <c r="BZ121" s="317">
        <f ca="1">OFFSET(TblImps[[#This Row],[Servertime]],-1,0)+1/24</f>
        <v>44875.874999999716</v>
      </c>
      <c r="CA121" s="57"/>
      <c r="CB121" s="315"/>
      <c r="CC121" s="315"/>
    </row>
    <row r="122" spans="1:81" x14ac:dyDescent="0.2">
      <c r="A122" s="225">
        <f ca="1">TblConstr[[#This Row],[Land]]</f>
        <v>250</v>
      </c>
      <c r="B122" s="145"/>
      <c r="C122" s="97">
        <f ca="1">TblProd[[#This Row],[Platinum]]</f>
        <v>764181</v>
      </c>
      <c r="D122" s="97">
        <f ca="1">TblProd[[#This Row],[Lumber]]</f>
        <v>74034</v>
      </c>
      <c r="E122" s="97">
        <f ca="1">TblProd[[#This Row],[Ore]]</f>
        <v>0</v>
      </c>
      <c r="F122" s="97">
        <f ca="1">TblProd[[#This Row],[Gems]]</f>
        <v>10000</v>
      </c>
      <c r="G122" s="157"/>
      <c r="H122" s="97">
        <f ca="1">TblMili[[#This Row],[Draftees]]</f>
        <v>100</v>
      </c>
      <c r="I122" s="183">
        <f ca="1">TblPop[[#This Row],[Employment]]</f>
        <v>0.78508341511285573</v>
      </c>
      <c r="J122" s="183">
        <f ca="1">TblPop[[#This Row],[Total]]/TblPop[[#This Row],[Net max]]</f>
        <v>0.99151823579304499</v>
      </c>
      <c r="K122" s="306">
        <f>TblRezone[[#This Row],[Hour]]</f>
        <v>119</v>
      </c>
      <c r="L122" s="307">
        <f ca="1">TblImps[[#This Row],[Real time]]</f>
        <v>44875.91666666638</v>
      </c>
      <c r="M122" s="62">
        <f>IF(ISERROR(TblImps[[#This Row],[algorithm]]),0,TblImps[[#This Row],[algorithm]]*1)</f>
        <v>0</v>
      </c>
      <c r="N122" s="97">
        <f ca="1">TblImps[[#This Row],[Land]]</f>
        <v>250</v>
      </c>
      <c r="O122" s="308" t="s">
        <v>4</v>
      </c>
      <c r="P122" s="309"/>
      <c r="Q122" s="308" t="s">
        <v>216</v>
      </c>
      <c r="R122" s="308" t="s">
        <v>7</v>
      </c>
      <c r="S122" s="309"/>
      <c r="T122" s="308" t="s">
        <v>216</v>
      </c>
      <c r="U122" s="308" t="s">
        <v>3</v>
      </c>
      <c r="V122" s="309"/>
      <c r="W122" s="308" t="s">
        <v>216</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44875.91666666638</v>
      </c>
      <c r="BZ122" s="317">
        <f ca="1">OFFSET(TblImps[[#This Row],[Servertime]],-1,0)+1/24</f>
        <v>44875.91666666638</v>
      </c>
      <c r="CA122" s="57"/>
      <c r="CB122" s="315"/>
      <c r="CC122" s="315"/>
    </row>
    <row r="123" spans="1:81" x14ac:dyDescent="0.2">
      <c r="A123" s="225">
        <f ca="1">TblConstr[[#This Row],[Land]]</f>
        <v>250</v>
      </c>
      <c r="B123" s="145"/>
      <c r="C123" s="97">
        <f ca="1">TblProd[[#This Row],[Platinum]]</f>
        <v>769851</v>
      </c>
      <c r="D123" s="97">
        <f ca="1">TblProd[[#This Row],[Lumber]]</f>
        <v>74294</v>
      </c>
      <c r="E123" s="97">
        <f ca="1">TblProd[[#This Row],[Ore]]</f>
        <v>0</v>
      </c>
      <c r="F123" s="97">
        <f ca="1">TblProd[[#This Row],[Gems]]</f>
        <v>10000</v>
      </c>
      <c r="G123" s="157"/>
      <c r="H123" s="97">
        <f ca="1">TblMili[[#This Row],[Draftees]]</f>
        <v>100</v>
      </c>
      <c r="I123" s="183">
        <f ca="1">TblPop[[#This Row],[Employment]]</f>
        <v>0.78508341511285573</v>
      </c>
      <c r="J123" s="183">
        <f ca="1">TblPop[[#This Row],[Total]]/TblPop[[#This Row],[Net max]]</f>
        <v>0.99151823579304499</v>
      </c>
      <c r="K123" s="306">
        <f>TblRezone[[#This Row],[Hour]]</f>
        <v>120</v>
      </c>
      <c r="L123" s="307">
        <f ca="1">TblImps[[#This Row],[Real time]]</f>
        <v>44875.958333333045</v>
      </c>
      <c r="M123" s="62">
        <f>IF(ISERROR(TblImps[[#This Row],[algorithm]]),0,TblImps[[#This Row],[algorithm]]*1)</f>
        <v>0</v>
      </c>
      <c r="N123" s="97">
        <f ca="1">TblImps[[#This Row],[Land]]</f>
        <v>250</v>
      </c>
      <c r="O123" s="308" t="s">
        <v>4</v>
      </c>
      <c r="P123" s="309"/>
      <c r="Q123" s="308" t="s">
        <v>216</v>
      </c>
      <c r="R123" s="308" t="s">
        <v>7</v>
      </c>
      <c r="S123" s="309"/>
      <c r="T123" s="308" t="s">
        <v>216</v>
      </c>
      <c r="U123" s="308" t="s">
        <v>3</v>
      </c>
      <c r="V123" s="309"/>
      <c r="W123" s="308" t="s">
        <v>216</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44875.958333333045</v>
      </c>
      <c r="BZ123" s="317">
        <f ca="1">OFFSET(TblImps[[#This Row],[Servertime]],-1,0)+1/24</f>
        <v>44875.958333333045</v>
      </c>
      <c r="CA123" s="57"/>
      <c r="CB123" s="315"/>
      <c r="CC123" s="315"/>
    </row>
    <row r="124" spans="1:81" x14ac:dyDescent="0.2">
      <c r="A124" s="225">
        <f ca="1">TblConstr[[#This Row],[Land]]</f>
        <v>250</v>
      </c>
      <c r="B124" s="145"/>
      <c r="C124" s="97">
        <f ca="1">TblProd[[#This Row],[Platinum]]</f>
        <v>775521</v>
      </c>
      <c r="D124" s="97">
        <f ca="1">TblProd[[#This Row],[Lumber]]</f>
        <v>74551</v>
      </c>
      <c r="E124" s="97">
        <f ca="1">TblProd[[#This Row],[Ore]]</f>
        <v>0</v>
      </c>
      <c r="F124" s="97">
        <f ca="1">TblProd[[#This Row],[Gems]]</f>
        <v>10000</v>
      </c>
      <c r="G124" s="157"/>
      <c r="H124" s="97">
        <f ca="1">TblMili[[#This Row],[Draftees]]</f>
        <v>100</v>
      </c>
      <c r="I124" s="183">
        <f ca="1">TblPop[[#This Row],[Employment]]</f>
        <v>0.78508341511285573</v>
      </c>
      <c r="J124" s="183">
        <f ca="1">TblPop[[#This Row],[Total]]/TblPop[[#This Row],[Net max]]</f>
        <v>0.99151823579304499</v>
      </c>
      <c r="K124" s="306">
        <f>TblRezone[[#This Row],[Hour]]</f>
        <v>121</v>
      </c>
      <c r="L124" s="307">
        <f ca="1">TblImps[[#This Row],[Real time]]</f>
        <v>44875.999999999709</v>
      </c>
      <c r="M124" s="62">
        <f>IF(ISERROR(TblImps[[#This Row],[algorithm]]),0,TblImps[[#This Row],[algorithm]]*1)</f>
        <v>0</v>
      </c>
      <c r="N124" s="97">
        <f ca="1">TblImps[[#This Row],[Land]]</f>
        <v>250</v>
      </c>
      <c r="O124" s="308" t="s">
        <v>4</v>
      </c>
      <c r="P124" s="309"/>
      <c r="Q124" s="308" t="s">
        <v>216</v>
      </c>
      <c r="R124" s="308" t="s">
        <v>7</v>
      </c>
      <c r="S124" s="309"/>
      <c r="T124" s="308" t="s">
        <v>216</v>
      </c>
      <c r="U124" s="308" t="s">
        <v>3</v>
      </c>
      <c r="V124" s="309"/>
      <c r="W124" s="308" t="s">
        <v>216</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44875.999999999709</v>
      </c>
      <c r="BZ124" s="317">
        <f ca="1">OFFSET(TblImps[[#This Row],[Servertime]],-1,0)+1/24</f>
        <v>44875.999999999709</v>
      </c>
      <c r="CA124" s="57"/>
      <c r="CB124" s="315"/>
      <c r="CC124" s="315"/>
    </row>
    <row r="125" spans="1:81" x14ac:dyDescent="0.2">
      <c r="A125" s="225">
        <f ca="1">TblConstr[[#This Row],[Land]]</f>
        <v>250</v>
      </c>
      <c r="B125" s="145"/>
      <c r="C125" s="97">
        <f ca="1">TblProd[[#This Row],[Platinum]]</f>
        <v>781191</v>
      </c>
      <c r="D125" s="97">
        <f ca="1">TblProd[[#This Row],[Lumber]]</f>
        <v>74805</v>
      </c>
      <c r="E125" s="97">
        <f ca="1">TblProd[[#This Row],[Ore]]</f>
        <v>0</v>
      </c>
      <c r="F125" s="97">
        <f ca="1">TblProd[[#This Row],[Gems]]</f>
        <v>10000</v>
      </c>
      <c r="G125" s="157"/>
      <c r="H125" s="97">
        <f ca="1">TblMili[[#This Row],[Draftees]]</f>
        <v>100</v>
      </c>
      <c r="I125" s="183">
        <f ca="1">TblPop[[#This Row],[Employment]]</f>
        <v>0.78508341511285573</v>
      </c>
      <c r="J125" s="183">
        <f ca="1">TblPop[[#This Row],[Total]]/TblPop[[#This Row],[Net max]]</f>
        <v>0.99151823579304499</v>
      </c>
      <c r="K125" s="306">
        <f>TblRezone[[#This Row],[Hour]]</f>
        <v>122</v>
      </c>
      <c r="L125" s="307">
        <f ca="1">TblImps[[#This Row],[Real time]]</f>
        <v>44876.041666666373</v>
      </c>
      <c r="M125" s="62">
        <f>IF(ISERROR(TblImps[[#This Row],[algorithm]]),0,TblImps[[#This Row],[algorithm]]*1)</f>
        <v>0</v>
      </c>
      <c r="N125" s="97">
        <f ca="1">TblImps[[#This Row],[Land]]</f>
        <v>250</v>
      </c>
      <c r="O125" s="308" t="s">
        <v>4</v>
      </c>
      <c r="P125" s="309"/>
      <c r="Q125" s="308" t="s">
        <v>216</v>
      </c>
      <c r="R125" s="308" t="s">
        <v>7</v>
      </c>
      <c r="S125" s="309"/>
      <c r="T125" s="308" t="s">
        <v>216</v>
      </c>
      <c r="U125" s="308" t="s">
        <v>3</v>
      </c>
      <c r="V125" s="309"/>
      <c r="W125" s="308" t="s">
        <v>216</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44876.041666666373</v>
      </c>
      <c r="BZ125" s="317">
        <f ca="1">OFFSET(TblImps[[#This Row],[Servertime]],-1,0)+1/24</f>
        <v>44876.041666666373</v>
      </c>
      <c r="CA125" s="57"/>
      <c r="CB125" s="315"/>
      <c r="CC125" s="315"/>
    </row>
    <row r="126" spans="1:81" x14ac:dyDescent="0.2">
      <c r="A126" s="225">
        <f ca="1">TblConstr[[#This Row],[Land]]</f>
        <v>250</v>
      </c>
      <c r="B126" s="145"/>
      <c r="C126" s="97">
        <f ca="1">TblProd[[#This Row],[Platinum]]</f>
        <v>786861</v>
      </c>
      <c r="D126" s="97">
        <f ca="1">TblProd[[#This Row],[Lumber]]</f>
        <v>75057</v>
      </c>
      <c r="E126" s="97">
        <f ca="1">TblProd[[#This Row],[Ore]]</f>
        <v>0</v>
      </c>
      <c r="F126" s="97">
        <f ca="1">TblProd[[#This Row],[Gems]]</f>
        <v>10000</v>
      </c>
      <c r="G126" s="157"/>
      <c r="H126" s="97">
        <f ca="1">TblMili[[#This Row],[Draftees]]</f>
        <v>100</v>
      </c>
      <c r="I126" s="183">
        <f ca="1">TblPop[[#This Row],[Employment]]</f>
        <v>0.78508341511285573</v>
      </c>
      <c r="J126" s="183">
        <f ca="1">TblPop[[#This Row],[Total]]/TblPop[[#This Row],[Net max]]</f>
        <v>0.99151823579304499</v>
      </c>
      <c r="K126" s="306">
        <f>TblRezone[[#This Row],[Hour]]</f>
        <v>123</v>
      </c>
      <c r="L126" s="307">
        <f ca="1">TblImps[[#This Row],[Real time]]</f>
        <v>44876.083333333037</v>
      </c>
      <c r="M126" s="62">
        <f>IF(ISERROR(TblImps[[#This Row],[algorithm]]),0,TblImps[[#This Row],[algorithm]]*1)</f>
        <v>0</v>
      </c>
      <c r="N126" s="97">
        <f ca="1">TblImps[[#This Row],[Land]]</f>
        <v>250</v>
      </c>
      <c r="O126" s="308" t="s">
        <v>4</v>
      </c>
      <c r="P126" s="309"/>
      <c r="Q126" s="308" t="s">
        <v>216</v>
      </c>
      <c r="R126" s="308" t="s">
        <v>7</v>
      </c>
      <c r="S126" s="309"/>
      <c r="T126" s="308" t="s">
        <v>216</v>
      </c>
      <c r="U126" s="308" t="s">
        <v>3</v>
      </c>
      <c r="V126" s="309"/>
      <c r="W126" s="308" t="s">
        <v>216</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44876.083333333037</v>
      </c>
      <c r="BZ126" s="317">
        <f ca="1">OFFSET(TblImps[[#This Row],[Servertime]],-1,0)+1/24</f>
        <v>44876.083333333037</v>
      </c>
      <c r="CA126" s="57"/>
      <c r="CB126" s="315"/>
      <c r="CC126" s="315"/>
    </row>
    <row r="127" spans="1:81" x14ac:dyDescent="0.2">
      <c r="A127" s="225">
        <f ca="1">TblConstr[[#This Row],[Land]]</f>
        <v>250</v>
      </c>
      <c r="B127" s="145"/>
      <c r="C127" s="97">
        <f ca="1">TblProd[[#This Row],[Platinum]]</f>
        <v>792531</v>
      </c>
      <c r="D127" s="97">
        <f ca="1">TblProd[[#This Row],[Lumber]]</f>
        <v>75306</v>
      </c>
      <c r="E127" s="97">
        <f ca="1">TblProd[[#This Row],[Ore]]</f>
        <v>0</v>
      </c>
      <c r="F127" s="97">
        <f ca="1">TblProd[[#This Row],[Gems]]</f>
        <v>10000</v>
      </c>
      <c r="G127" s="157"/>
      <c r="H127" s="97">
        <f ca="1">TblMili[[#This Row],[Draftees]]</f>
        <v>100</v>
      </c>
      <c r="I127" s="183">
        <f ca="1">TblPop[[#This Row],[Employment]]</f>
        <v>0.78508341511285573</v>
      </c>
      <c r="J127" s="183">
        <f ca="1">TblPop[[#This Row],[Total]]/TblPop[[#This Row],[Net max]]</f>
        <v>0.99151823579304499</v>
      </c>
      <c r="K127" s="306">
        <f>TblRezone[[#This Row],[Hour]]</f>
        <v>124</v>
      </c>
      <c r="L127" s="307">
        <f ca="1">TblImps[[#This Row],[Real time]]</f>
        <v>44876.124999999702</v>
      </c>
      <c r="M127" s="62">
        <f>IF(ISERROR(TblImps[[#This Row],[algorithm]]),0,TblImps[[#This Row],[algorithm]]*1)</f>
        <v>0</v>
      </c>
      <c r="N127" s="97">
        <f ca="1">TblImps[[#This Row],[Land]]</f>
        <v>250</v>
      </c>
      <c r="O127" s="308" t="s">
        <v>4</v>
      </c>
      <c r="P127" s="309"/>
      <c r="Q127" s="308" t="s">
        <v>216</v>
      </c>
      <c r="R127" s="308" t="s">
        <v>7</v>
      </c>
      <c r="S127" s="309"/>
      <c r="T127" s="308" t="s">
        <v>216</v>
      </c>
      <c r="U127" s="308" t="s">
        <v>3</v>
      </c>
      <c r="V127" s="309"/>
      <c r="W127" s="308" t="s">
        <v>216</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44876.124999999702</v>
      </c>
      <c r="BZ127" s="317">
        <f ca="1">OFFSET(TblImps[[#This Row],[Servertime]],-1,0)+1/24</f>
        <v>44876.124999999702</v>
      </c>
      <c r="CA127" s="57"/>
      <c r="CB127" s="315"/>
      <c r="CC127" s="315"/>
    </row>
    <row r="128" spans="1:81" x14ac:dyDescent="0.2">
      <c r="A128" s="225">
        <f ca="1">TblConstr[[#This Row],[Land]]</f>
        <v>250</v>
      </c>
      <c r="B128" s="145"/>
      <c r="C128" s="97">
        <f ca="1">TblProd[[#This Row],[Platinum]]</f>
        <v>798201</v>
      </c>
      <c r="D128" s="97">
        <f ca="1">TblProd[[#This Row],[Lumber]]</f>
        <v>75553</v>
      </c>
      <c r="E128" s="97">
        <f ca="1">TblProd[[#This Row],[Ore]]</f>
        <v>0</v>
      </c>
      <c r="F128" s="97">
        <f ca="1">TblProd[[#This Row],[Gems]]</f>
        <v>10000</v>
      </c>
      <c r="G128" s="157"/>
      <c r="H128" s="97">
        <f ca="1">TblMili[[#This Row],[Draftees]]</f>
        <v>100</v>
      </c>
      <c r="I128" s="183">
        <f ca="1">TblPop[[#This Row],[Employment]]</f>
        <v>0.78508341511285573</v>
      </c>
      <c r="J128" s="183">
        <f ca="1">TblPop[[#This Row],[Total]]/TblPop[[#This Row],[Net max]]</f>
        <v>0.99151823579304499</v>
      </c>
      <c r="K128" s="306">
        <f>TblRezone[[#This Row],[Hour]]</f>
        <v>125</v>
      </c>
      <c r="L128" s="307">
        <f ca="1">TblImps[[#This Row],[Real time]]</f>
        <v>44876.166666666366</v>
      </c>
      <c r="M128" s="62">
        <f>IF(ISERROR(TblImps[[#This Row],[algorithm]]),0,TblImps[[#This Row],[algorithm]]*1)</f>
        <v>0</v>
      </c>
      <c r="N128" s="97">
        <f ca="1">TblImps[[#This Row],[Land]]</f>
        <v>250</v>
      </c>
      <c r="O128" s="308" t="s">
        <v>4</v>
      </c>
      <c r="P128" s="309"/>
      <c r="Q128" s="308" t="s">
        <v>216</v>
      </c>
      <c r="R128" s="308" t="s">
        <v>7</v>
      </c>
      <c r="S128" s="309"/>
      <c r="T128" s="308" t="s">
        <v>216</v>
      </c>
      <c r="U128" s="308" t="s">
        <v>3</v>
      </c>
      <c r="V128" s="309"/>
      <c r="W128" s="308" t="s">
        <v>216</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44876.166666666366</v>
      </c>
      <c r="BZ128" s="317">
        <f ca="1">OFFSET(TblImps[[#This Row],[Servertime]],-1,0)+1/24</f>
        <v>44876.166666666366</v>
      </c>
      <c r="CA128" s="57"/>
      <c r="CB128" s="315"/>
      <c r="CC128" s="315"/>
    </row>
    <row r="129" spans="1:81" x14ac:dyDescent="0.2">
      <c r="A129" s="225">
        <f ca="1">TblConstr[[#This Row],[Land]]</f>
        <v>250</v>
      </c>
      <c r="B129" s="145"/>
      <c r="C129" s="97">
        <f ca="1">TblProd[[#This Row],[Platinum]]</f>
        <v>803871</v>
      </c>
      <c r="D129" s="97">
        <f ca="1">TblProd[[#This Row],[Lumber]]</f>
        <v>75797</v>
      </c>
      <c r="E129" s="97">
        <f ca="1">TblProd[[#This Row],[Ore]]</f>
        <v>0</v>
      </c>
      <c r="F129" s="97">
        <f ca="1">TblProd[[#This Row],[Gems]]</f>
        <v>10000</v>
      </c>
      <c r="G129" s="157"/>
      <c r="H129" s="97">
        <f ca="1">TblMili[[#This Row],[Draftees]]</f>
        <v>100</v>
      </c>
      <c r="I129" s="183">
        <f ca="1">TblPop[[#This Row],[Employment]]</f>
        <v>0.78508341511285573</v>
      </c>
      <c r="J129" s="183">
        <f ca="1">TblPop[[#This Row],[Total]]/TblPop[[#This Row],[Net max]]</f>
        <v>0.99151823579304499</v>
      </c>
      <c r="K129" s="306">
        <f>TblRezone[[#This Row],[Hour]]</f>
        <v>126</v>
      </c>
      <c r="L129" s="307">
        <f ca="1">TblImps[[#This Row],[Real time]]</f>
        <v>44876.20833333303</v>
      </c>
      <c r="M129" s="62">
        <f>IF(ISERROR(TblImps[[#This Row],[algorithm]]),0,TblImps[[#This Row],[algorithm]]*1)</f>
        <v>0</v>
      </c>
      <c r="N129" s="97">
        <f ca="1">TblImps[[#This Row],[Land]]</f>
        <v>250</v>
      </c>
      <c r="O129" s="308" t="s">
        <v>4</v>
      </c>
      <c r="P129" s="309"/>
      <c r="Q129" s="308" t="s">
        <v>216</v>
      </c>
      <c r="R129" s="308" t="s">
        <v>7</v>
      </c>
      <c r="S129" s="309"/>
      <c r="T129" s="308" t="s">
        <v>216</v>
      </c>
      <c r="U129" s="308" t="s">
        <v>3</v>
      </c>
      <c r="V129" s="309"/>
      <c r="W129" s="308" t="s">
        <v>216</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44876.20833333303</v>
      </c>
      <c r="BZ129" s="317">
        <f ca="1">OFFSET(TblImps[[#This Row],[Servertime]],-1,0)+1/24</f>
        <v>44876.20833333303</v>
      </c>
      <c r="CA129" s="57"/>
      <c r="CB129" s="315"/>
      <c r="CC129" s="315"/>
    </row>
    <row r="130" spans="1:81" x14ac:dyDescent="0.2">
      <c r="A130" s="225">
        <f ca="1">TblConstr[[#This Row],[Land]]</f>
        <v>250</v>
      </c>
      <c r="B130" s="145"/>
      <c r="C130" s="97">
        <f ca="1">TblProd[[#This Row],[Platinum]]</f>
        <v>809541</v>
      </c>
      <c r="D130" s="97">
        <f ca="1">TblProd[[#This Row],[Lumber]]</f>
        <v>76039</v>
      </c>
      <c r="E130" s="97">
        <f ca="1">TblProd[[#This Row],[Ore]]</f>
        <v>0</v>
      </c>
      <c r="F130" s="97">
        <f ca="1">TblProd[[#This Row],[Gems]]</f>
        <v>10000</v>
      </c>
      <c r="G130" s="157"/>
      <c r="H130" s="97">
        <f ca="1">TblMili[[#This Row],[Draftees]]</f>
        <v>100</v>
      </c>
      <c r="I130" s="183">
        <f ca="1">TblPop[[#This Row],[Employment]]</f>
        <v>0.78508341511285573</v>
      </c>
      <c r="J130" s="183">
        <f ca="1">TblPop[[#This Row],[Total]]/TblPop[[#This Row],[Net max]]</f>
        <v>0.99151823579304499</v>
      </c>
      <c r="K130" s="306">
        <f>TblRezone[[#This Row],[Hour]]</f>
        <v>127</v>
      </c>
      <c r="L130" s="307">
        <f ca="1">TblImps[[#This Row],[Real time]]</f>
        <v>44876.249999999694</v>
      </c>
      <c r="M130" s="62">
        <f>IF(ISERROR(TblImps[[#This Row],[algorithm]]),0,TblImps[[#This Row],[algorithm]]*1)</f>
        <v>0</v>
      </c>
      <c r="N130" s="97">
        <f ca="1">TblImps[[#This Row],[Land]]</f>
        <v>250</v>
      </c>
      <c r="O130" s="308" t="s">
        <v>4</v>
      </c>
      <c r="P130" s="309"/>
      <c r="Q130" s="308" t="s">
        <v>216</v>
      </c>
      <c r="R130" s="308" t="s">
        <v>7</v>
      </c>
      <c r="S130" s="309"/>
      <c r="T130" s="308" t="s">
        <v>216</v>
      </c>
      <c r="U130" s="308" t="s">
        <v>3</v>
      </c>
      <c r="V130" s="309"/>
      <c r="W130" s="308" t="s">
        <v>216</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44876.249999999694</v>
      </c>
      <c r="BZ130" s="317">
        <f ca="1">OFFSET(TblImps[[#This Row],[Servertime]],-1,0)+1/24</f>
        <v>44876.249999999694</v>
      </c>
      <c r="CA130" s="57"/>
      <c r="CB130" s="315"/>
      <c r="CC130" s="315"/>
    </row>
    <row r="131" spans="1:81" x14ac:dyDescent="0.2">
      <c r="A131" s="225">
        <f ca="1">TblConstr[[#This Row],[Land]]</f>
        <v>250</v>
      </c>
      <c r="B131" s="145"/>
      <c r="C131" s="97">
        <f ca="1">TblProd[[#This Row],[Platinum]]</f>
        <v>815211</v>
      </c>
      <c r="D131" s="97">
        <f ca="1">TblProd[[#This Row],[Lumber]]</f>
        <v>76279</v>
      </c>
      <c r="E131" s="97">
        <f ca="1">TblProd[[#This Row],[Ore]]</f>
        <v>0</v>
      </c>
      <c r="F131" s="97">
        <f ca="1">TblProd[[#This Row],[Gems]]</f>
        <v>10000</v>
      </c>
      <c r="G131" s="157"/>
      <c r="H131" s="97">
        <f ca="1">TblMili[[#This Row],[Draftees]]</f>
        <v>100</v>
      </c>
      <c r="I131" s="183">
        <f ca="1">TblPop[[#This Row],[Employment]]</f>
        <v>0.78508341511285573</v>
      </c>
      <c r="J131" s="183">
        <f ca="1">TblPop[[#This Row],[Total]]/TblPop[[#This Row],[Net max]]</f>
        <v>0.99151823579304499</v>
      </c>
      <c r="K131" s="306">
        <f>TblRezone[[#This Row],[Hour]]</f>
        <v>128</v>
      </c>
      <c r="L131" s="307">
        <f ca="1">TblImps[[#This Row],[Real time]]</f>
        <v>44876.291666666359</v>
      </c>
      <c r="M131" s="62">
        <f>IF(ISERROR(TblImps[[#This Row],[algorithm]]),0,TblImps[[#This Row],[algorithm]]*1)</f>
        <v>0</v>
      </c>
      <c r="N131" s="97">
        <f ca="1">TblImps[[#This Row],[Land]]</f>
        <v>250</v>
      </c>
      <c r="O131" s="308" t="s">
        <v>4</v>
      </c>
      <c r="P131" s="309"/>
      <c r="Q131" s="308" t="s">
        <v>216</v>
      </c>
      <c r="R131" s="308" t="s">
        <v>7</v>
      </c>
      <c r="S131" s="309"/>
      <c r="T131" s="308" t="s">
        <v>216</v>
      </c>
      <c r="U131" s="308" t="s">
        <v>3</v>
      </c>
      <c r="V131" s="309"/>
      <c r="W131" s="308" t="s">
        <v>216</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44876.291666666359</v>
      </c>
      <c r="BZ131" s="317">
        <f ca="1">OFFSET(TblImps[[#This Row],[Servertime]],-1,0)+1/24</f>
        <v>44876.291666666359</v>
      </c>
      <c r="CA131" s="57"/>
      <c r="CB131" s="315"/>
      <c r="CC131" s="315"/>
    </row>
    <row r="132" spans="1:81" x14ac:dyDescent="0.2">
      <c r="A132" s="225">
        <f ca="1">TblConstr[[#This Row],[Land]]</f>
        <v>250</v>
      </c>
      <c r="B132" s="145"/>
      <c r="C132" s="97">
        <f ca="1">TblProd[[#This Row],[Platinum]]</f>
        <v>820881</v>
      </c>
      <c r="D132" s="97">
        <f ca="1">TblProd[[#This Row],[Lumber]]</f>
        <v>76516</v>
      </c>
      <c r="E132" s="97">
        <f ca="1">TblProd[[#This Row],[Ore]]</f>
        <v>0</v>
      </c>
      <c r="F132" s="97">
        <f ca="1">TblProd[[#This Row],[Gems]]</f>
        <v>10000</v>
      </c>
      <c r="G132" s="157"/>
      <c r="H132" s="97">
        <f ca="1">TblMili[[#This Row],[Draftees]]</f>
        <v>100</v>
      </c>
      <c r="I132" s="183">
        <f ca="1">TblPop[[#This Row],[Employment]]</f>
        <v>0.78508341511285573</v>
      </c>
      <c r="J132" s="183">
        <f ca="1">TblPop[[#This Row],[Total]]/TblPop[[#This Row],[Net max]]</f>
        <v>0.99151823579304499</v>
      </c>
      <c r="K132" s="306">
        <f>TblRezone[[#This Row],[Hour]]</f>
        <v>129</v>
      </c>
      <c r="L132" s="307">
        <f ca="1">TblImps[[#This Row],[Real time]]</f>
        <v>44876.333333333023</v>
      </c>
      <c r="M132" s="62">
        <f>IF(ISERROR(TblImps[[#This Row],[algorithm]]),0,TblImps[[#This Row],[algorithm]]*1)</f>
        <v>0</v>
      </c>
      <c r="N132" s="97">
        <f ca="1">TblImps[[#This Row],[Land]]</f>
        <v>250</v>
      </c>
      <c r="O132" s="308" t="s">
        <v>4</v>
      </c>
      <c r="P132" s="309"/>
      <c r="Q132" s="308" t="s">
        <v>216</v>
      </c>
      <c r="R132" s="308" t="s">
        <v>7</v>
      </c>
      <c r="S132" s="309"/>
      <c r="T132" s="308" t="s">
        <v>216</v>
      </c>
      <c r="U132" s="308" t="s">
        <v>3</v>
      </c>
      <c r="V132" s="309"/>
      <c r="W132" s="308" t="s">
        <v>216</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44876.333333333023</v>
      </c>
      <c r="BZ132" s="317">
        <f ca="1">OFFSET(TblImps[[#This Row],[Servertime]],-1,0)+1/24</f>
        <v>44876.333333333023</v>
      </c>
      <c r="CA132" s="57"/>
      <c r="CB132" s="315"/>
      <c r="CC132" s="315"/>
    </row>
    <row r="133" spans="1:81" x14ac:dyDescent="0.2">
      <c r="A133" s="225">
        <f ca="1">TblConstr[[#This Row],[Land]]</f>
        <v>250</v>
      </c>
      <c r="B133" s="145"/>
      <c r="C133" s="97">
        <f ca="1">TblProd[[#This Row],[Platinum]]</f>
        <v>826551</v>
      </c>
      <c r="D133" s="97">
        <f ca="1">TblProd[[#This Row],[Lumber]]</f>
        <v>76751</v>
      </c>
      <c r="E133" s="97">
        <f ca="1">TblProd[[#This Row],[Ore]]</f>
        <v>0</v>
      </c>
      <c r="F133" s="97">
        <f ca="1">TblProd[[#This Row],[Gems]]</f>
        <v>10000</v>
      </c>
      <c r="G133" s="157"/>
      <c r="H133" s="97">
        <f ca="1">TblMili[[#This Row],[Draftees]]</f>
        <v>100</v>
      </c>
      <c r="I133" s="183">
        <f ca="1">TblPop[[#This Row],[Employment]]</f>
        <v>0.78508341511285573</v>
      </c>
      <c r="J133" s="183">
        <f ca="1">TblPop[[#This Row],[Total]]/TblPop[[#This Row],[Net max]]</f>
        <v>0.99151823579304499</v>
      </c>
      <c r="K133" s="306">
        <f>TblRezone[[#This Row],[Hour]]</f>
        <v>130</v>
      </c>
      <c r="L133" s="307">
        <f ca="1">TblImps[[#This Row],[Real time]]</f>
        <v>44876.374999999687</v>
      </c>
      <c r="M133" s="62">
        <f>IF(ISERROR(TblImps[[#This Row],[algorithm]]),0,TblImps[[#This Row],[algorithm]]*1)</f>
        <v>0</v>
      </c>
      <c r="N133" s="97">
        <f ca="1">TblImps[[#This Row],[Land]]</f>
        <v>250</v>
      </c>
      <c r="O133" s="308" t="s">
        <v>4</v>
      </c>
      <c r="P133" s="309"/>
      <c r="Q133" s="308" t="s">
        <v>216</v>
      </c>
      <c r="R133" s="308" t="s">
        <v>7</v>
      </c>
      <c r="S133" s="309"/>
      <c r="T133" s="308" t="s">
        <v>216</v>
      </c>
      <c r="U133" s="308" t="s">
        <v>3</v>
      </c>
      <c r="V133" s="309"/>
      <c r="W133" s="308" t="s">
        <v>216</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44876.374999999687</v>
      </c>
      <c r="BZ133" s="317">
        <f ca="1">OFFSET(TblImps[[#This Row],[Servertime]],-1,0)+1/24</f>
        <v>44876.374999999687</v>
      </c>
      <c r="CA133" s="57"/>
      <c r="CB133" s="315"/>
      <c r="CC133" s="315"/>
    </row>
    <row r="134" spans="1:81" x14ac:dyDescent="0.2">
      <c r="A134" s="225">
        <f ca="1">TblConstr[[#This Row],[Land]]</f>
        <v>250</v>
      </c>
      <c r="B134" s="145"/>
      <c r="C134" s="97">
        <f ca="1">TblProd[[#This Row],[Platinum]]</f>
        <v>832221</v>
      </c>
      <c r="D134" s="97">
        <f ca="1">TblProd[[#This Row],[Lumber]]</f>
        <v>76983</v>
      </c>
      <c r="E134" s="97">
        <f ca="1">TblProd[[#This Row],[Ore]]</f>
        <v>0</v>
      </c>
      <c r="F134" s="97">
        <f ca="1">TblProd[[#This Row],[Gems]]</f>
        <v>10000</v>
      </c>
      <c r="G134" s="157"/>
      <c r="H134" s="97">
        <f ca="1">TblMili[[#This Row],[Draftees]]</f>
        <v>100</v>
      </c>
      <c r="I134" s="183">
        <f ca="1">TblPop[[#This Row],[Employment]]</f>
        <v>0.78508341511285573</v>
      </c>
      <c r="J134" s="183">
        <f ca="1">TblPop[[#This Row],[Total]]/TblPop[[#This Row],[Net max]]</f>
        <v>0.99151823579304499</v>
      </c>
      <c r="K134" s="306">
        <f>TblRezone[[#This Row],[Hour]]</f>
        <v>131</v>
      </c>
      <c r="L134" s="307">
        <f ca="1">TblImps[[#This Row],[Real time]]</f>
        <v>44876.416666666351</v>
      </c>
      <c r="M134" s="62">
        <f>IF(ISERROR(TblImps[[#This Row],[algorithm]]),0,TblImps[[#This Row],[algorithm]]*1)</f>
        <v>0</v>
      </c>
      <c r="N134" s="97">
        <f ca="1">TblImps[[#This Row],[Land]]</f>
        <v>250</v>
      </c>
      <c r="O134" s="308" t="s">
        <v>4</v>
      </c>
      <c r="P134" s="309"/>
      <c r="Q134" s="308" t="s">
        <v>216</v>
      </c>
      <c r="R134" s="308" t="s">
        <v>7</v>
      </c>
      <c r="S134" s="309"/>
      <c r="T134" s="308" t="s">
        <v>216</v>
      </c>
      <c r="U134" s="308" t="s">
        <v>3</v>
      </c>
      <c r="V134" s="309"/>
      <c r="W134" s="308" t="s">
        <v>216</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44876.416666666351</v>
      </c>
      <c r="BZ134" s="317">
        <f ca="1">OFFSET(TblImps[[#This Row],[Servertime]],-1,0)+1/24</f>
        <v>44876.416666666351</v>
      </c>
      <c r="CA134" s="57"/>
      <c r="CB134" s="315"/>
      <c r="CC134" s="315"/>
    </row>
    <row r="135" spans="1:81" x14ac:dyDescent="0.2">
      <c r="A135" s="225">
        <f ca="1">TblConstr[[#This Row],[Land]]</f>
        <v>250</v>
      </c>
      <c r="B135" s="145"/>
      <c r="C135" s="97">
        <f ca="1">TblProd[[#This Row],[Platinum]]</f>
        <v>837891</v>
      </c>
      <c r="D135" s="97">
        <f ca="1">TblProd[[#This Row],[Lumber]]</f>
        <v>77213</v>
      </c>
      <c r="E135" s="97">
        <f ca="1">TblProd[[#This Row],[Ore]]</f>
        <v>0</v>
      </c>
      <c r="F135" s="97">
        <f ca="1">TblProd[[#This Row],[Gems]]</f>
        <v>10000</v>
      </c>
      <c r="G135" s="157"/>
      <c r="H135" s="97">
        <f ca="1">TblMili[[#This Row],[Draftees]]</f>
        <v>100</v>
      </c>
      <c r="I135" s="183">
        <f ca="1">TblPop[[#This Row],[Employment]]</f>
        <v>0.78508341511285573</v>
      </c>
      <c r="J135" s="183">
        <f ca="1">TblPop[[#This Row],[Total]]/TblPop[[#This Row],[Net max]]</f>
        <v>0.99151823579304499</v>
      </c>
      <c r="K135" s="306">
        <f>TblRezone[[#This Row],[Hour]]</f>
        <v>132</v>
      </c>
      <c r="L135" s="307">
        <f ca="1">TblImps[[#This Row],[Real time]]</f>
        <v>44876.458333333016</v>
      </c>
      <c r="M135" s="62">
        <f>IF(ISERROR(TblImps[[#This Row],[algorithm]]),0,TblImps[[#This Row],[algorithm]]*1)</f>
        <v>0</v>
      </c>
      <c r="N135" s="97">
        <f ca="1">TblImps[[#This Row],[Land]]</f>
        <v>250</v>
      </c>
      <c r="O135" s="308" t="s">
        <v>4</v>
      </c>
      <c r="P135" s="309"/>
      <c r="Q135" s="308" t="s">
        <v>216</v>
      </c>
      <c r="R135" s="308" t="s">
        <v>7</v>
      </c>
      <c r="S135" s="309"/>
      <c r="T135" s="308" t="s">
        <v>216</v>
      </c>
      <c r="U135" s="308" t="s">
        <v>3</v>
      </c>
      <c r="V135" s="309"/>
      <c r="W135" s="308" t="s">
        <v>216</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44876.458333333016</v>
      </c>
      <c r="BZ135" s="317">
        <f ca="1">OFFSET(TblImps[[#This Row],[Servertime]],-1,0)+1/24</f>
        <v>44876.458333333016</v>
      </c>
      <c r="CA135" s="57"/>
      <c r="CB135" s="315"/>
      <c r="CC135" s="315"/>
    </row>
    <row r="136" spans="1:81" x14ac:dyDescent="0.2">
      <c r="A136" s="225">
        <f ca="1">TblConstr[[#This Row],[Land]]</f>
        <v>250</v>
      </c>
      <c r="B136" s="145"/>
      <c r="C136" s="97">
        <f ca="1">TblProd[[#This Row],[Platinum]]</f>
        <v>843561</v>
      </c>
      <c r="D136" s="97">
        <f ca="1">TblProd[[#This Row],[Lumber]]</f>
        <v>77441</v>
      </c>
      <c r="E136" s="97">
        <f ca="1">TblProd[[#This Row],[Ore]]</f>
        <v>0</v>
      </c>
      <c r="F136" s="97">
        <f ca="1">TblProd[[#This Row],[Gems]]</f>
        <v>10000</v>
      </c>
      <c r="G136" s="157"/>
      <c r="H136" s="97">
        <f ca="1">TblMili[[#This Row],[Draftees]]</f>
        <v>100</v>
      </c>
      <c r="I136" s="183">
        <f ca="1">TblPop[[#This Row],[Employment]]</f>
        <v>0</v>
      </c>
      <c r="J136" s="183">
        <f ca="1">TblPop[[#This Row],[Total]]/TblPop[[#This Row],[Net max]]</f>
        <v>0.99151823579304499</v>
      </c>
      <c r="K136" s="306">
        <f>TblRezone[[#This Row],[Hour]]</f>
        <v>133</v>
      </c>
      <c r="L136" s="307">
        <f ca="1">TblImps[[#This Row],[Real time]]</f>
        <v>44876.49999999968</v>
      </c>
      <c r="M136" s="62">
        <f>IF(ISERROR(TblImps[[#This Row],[algorithm]]),0,TblImps[[#This Row],[algorithm]]*1)</f>
        <v>0</v>
      </c>
      <c r="N136" s="97">
        <f ca="1">TblImps[[#This Row],[Land]]</f>
        <v>250</v>
      </c>
      <c r="O136" s="308" t="s">
        <v>4</v>
      </c>
      <c r="P136" s="309"/>
      <c r="Q136" s="308" t="s">
        <v>216</v>
      </c>
      <c r="R136" s="308" t="s">
        <v>7</v>
      </c>
      <c r="S136" s="309"/>
      <c r="T136" s="308" t="s">
        <v>216</v>
      </c>
      <c r="U136" s="308" t="s">
        <v>3</v>
      </c>
      <c r="V136" s="309"/>
      <c r="W136" s="308" t="s">
        <v>216</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44876.49999999968</v>
      </c>
      <c r="BZ136" s="317">
        <f ca="1">OFFSET(TblImps[[#This Row],[Servertime]],-1,0)+1/24</f>
        <v>44876.49999999968</v>
      </c>
      <c r="CA136" s="57"/>
      <c r="CB136" s="315"/>
      <c r="CC136" s="315"/>
    </row>
    <row r="1269" spans="2:23" x14ac:dyDescent="0.2">
      <c r="B1269" s="490" t="s">
        <v>321</v>
      </c>
      <c r="C1269" s="447"/>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 priority="8" stopIfTrue="1">
      <formula>ROW()-2=#REF!</formula>
    </cfRule>
  </conditionalFormatting>
  <conditionalFormatting sqref="A1269:CC1269">
    <cfRule type="expression" dxfId="12" priority="9" stopIfTrue="1">
      <formula>$B$1270&gt;84</formula>
    </cfRule>
  </conditionalFormatting>
  <conditionalFormatting sqref="A1269:XFD1270">
    <cfRule type="expression" dxfId="11" priority="10" stopIfTrue="1">
      <formula>$B$1270&gt;144</formula>
    </cfRule>
  </conditionalFormatting>
  <conditionalFormatting sqref="BV76">
    <cfRule type="expression" dxfId="10" priority="20" stopIfTrue="1">
      <formula>ISERROR(BV76)</formula>
    </cfRule>
  </conditionalFormatting>
  <conditionalFormatting sqref="A4:BZ136">
    <cfRule type="expression" dxfId="9" priority="1" stopIfTrue="1">
      <formula>ROW()-3=$B$1270</formula>
    </cfRule>
    <cfRule type="expression" dxfId="8" priority="2" stopIfTrue="1">
      <formula>OR(ROW()-3=$B$1270,A4&lt;0)</formula>
    </cfRule>
    <cfRule type="expression" dxfId="7" priority="7">
      <formula>$K4=73</formula>
    </cfRule>
    <cfRule type="expression" dxfId="6" priority="12">
      <formula>ROUND(($K4-1)/12,0)=INT($K4-1)/12</formula>
    </cfRule>
  </conditionalFormatting>
  <conditionalFormatting sqref="BV4:BV136">
    <cfRule type="expression" dxfId="5" priority="15" stopIfTrue="1">
      <formula>AND(ROW()-3=$B$1270,ISERROR(BV4))</formula>
    </cfRule>
    <cfRule type="expression" dxfId="4" priority="17" stopIfTrue="1">
      <formula>ISERROR(BV4)</formula>
    </cfRule>
  </conditionalFormatting>
  <conditionalFormatting sqref="A1:XFD3">
    <cfRule type="expression" dxfId="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1023</v>
      </c>
      <c r="D2" s="41" t="s">
        <v>954</v>
      </c>
      <c r="E2" s="41" t="s">
        <v>1025</v>
      </c>
    </row>
    <row r="3" spans="2:5" ht="15.75" x14ac:dyDescent="0.25">
      <c r="B3" s="40" t="s">
        <v>1002</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1003</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1005</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1004</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1006</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1007</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1008</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1009</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1010</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1011</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1012</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1013</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1014</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1015</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1016</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1017</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1018</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1019</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1020</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1021</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1022</v>
      </c>
      <c r="C23" s="40" t="s">
        <v>1024</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1001</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topLeftCell="A67" zoomScale="70" zoomScaleNormal="70" workbookViewId="0">
      <selection activeCell="F90" sqref="F90"/>
    </sheetView>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543</v>
      </c>
      <c r="B11" s="45">
        <v>25</v>
      </c>
      <c r="C11" s="45" t="s">
        <v>8</v>
      </c>
    </row>
    <row r="12" spans="1:6" x14ac:dyDescent="0.2">
      <c r="A12" s="329" t="s">
        <v>67</v>
      </c>
      <c r="B12" s="266">
        <v>1.75</v>
      </c>
      <c r="C12" s="45" t="s">
        <v>518</v>
      </c>
      <c r="D12" s="159">
        <v>0.35</v>
      </c>
      <c r="E12" s="45" t="s">
        <v>443</v>
      </c>
    </row>
    <row r="13" spans="1:6" x14ac:dyDescent="0.2">
      <c r="A13" s="329" t="s">
        <v>65</v>
      </c>
      <c r="B13" s="266">
        <v>1.75</v>
      </c>
      <c r="C13" s="45" t="s">
        <v>519</v>
      </c>
      <c r="D13" s="159">
        <v>0.35</v>
      </c>
      <c r="E13" s="45" t="s">
        <v>443</v>
      </c>
    </row>
    <row r="14" spans="1:6" x14ac:dyDescent="0.2">
      <c r="A14" s="329" t="s">
        <v>488</v>
      </c>
      <c r="B14" s="45">
        <v>0</v>
      </c>
      <c r="C14" s="45" t="s">
        <v>489</v>
      </c>
      <c r="D14" s="330"/>
      <c r="F14" s="159"/>
    </row>
    <row r="15" spans="1:6" x14ac:dyDescent="0.2">
      <c r="B15" s="45">
        <v>3.5</v>
      </c>
      <c r="C15" s="45" t="s">
        <v>490</v>
      </c>
      <c r="D15" s="331">
        <v>0.35</v>
      </c>
      <c r="E15" s="45" t="s">
        <v>443</v>
      </c>
      <c r="F15" s="159"/>
    </row>
    <row r="16" spans="1:6" x14ac:dyDescent="0.2">
      <c r="A16" s="329" t="s">
        <v>485</v>
      </c>
      <c r="B16" s="45">
        <v>0</v>
      </c>
      <c r="C16" s="45" t="s">
        <v>492</v>
      </c>
      <c r="D16" s="331">
        <v>0</v>
      </c>
      <c r="E16" s="45" t="s">
        <v>443</v>
      </c>
      <c r="F16" s="159"/>
    </row>
    <row r="17" spans="1:19" x14ac:dyDescent="0.2">
      <c r="B17" s="45">
        <v>3.5</v>
      </c>
      <c r="C17" s="45" t="s">
        <v>491</v>
      </c>
      <c r="D17" s="331">
        <v>0.35</v>
      </c>
      <c r="E17" s="45" t="s">
        <v>443</v>
      </c>
      <c r="F17" s="159"/>
    </row>
    <row r="18" spans="1:19" x14ac:dyDescent="0.2">
      <c r="B18" s="45">
        <v>15</v>
      </c>
      <c r="C18" s="45" t="s">
        <v>13</v>
      </c>
      <c r="D18" s="331"/>
      <c r="F18" s="159"/>
    </row>
    <row r="19" spans="1:19" x14ac:dyDescent="0.2">
      <c r="A19" s="329" t="s">
        <v>189</v>
      </c>
      <c r="B19" s="45">
        <v>2</v>
      </c>
      <c r="C19" s="45" t="s">
        <v>444</v>
      </c>
      <c r="D19" s="159">
        <v>0.36</v>
      </c>
      <c r="E19" s="45" t="s">
        <v>443</v>
      </c>
    </row>
    <row r="20" spans="1:19" x14ac:dyDescent="0.2">
      <c r="A20" s="329" t="s">
        <v>459</v>
      </c>
      <c r="B20" s="45">
        <v>2.75</v>
      </c>
      <c r="C20" s="45" t="s">
        <v>493</v>
      </c>
    </row>
    <row r="21" spans="1:19" x14ac:dyDescent="0.2">
      <c r="A21" s="329" t="s">
        <v>460</v>
      </c>
      <c r="B21" s="332">
        <v>4</v>
      </c>
      <c r="C21" s="45" t="s">
        <v>461</v>
      </c>
      <c r="D21" s="159">
        <v>0.6</v>
      </c>
      <c r="E21" s="45" t="s">
        <v>443</v>
      </c>
    </row>
    <row r="22" spans="1:19" x14ac:dyDescent="0.2">
      <c r="B22" s="332">
        <v>4</v>
      </c>
      <c r="C22" s="45" t="s">
        <v>462</v>
      </c>
      <c r="D22" s="159">
        <v>0.6</v>
      </c>
      <c r="E22" s="45" t="s">
        <v>443</v>
      </c>
    </row>
    <row r="23" spans="1:19" x14ac:dyDescent="0.2">
      <c r="A23" s="329" t="s">
        <v>1093</v>
      </c>
      <c r="B23" s="332"/>
      <c r="C23" s="45" t="s">
        <v>1094</v>
      </c>
      <c r="D23" s="159">
        <v>0.5</v>
      </c>
      <c r="E23" s="45" t="s">
        <v>443</v>
      </c>
    </row>
    <row r="24" spans="1:19" x14ac:dyDescent="0.2">
      <c r="A24" s="328" t="s">
        <v>80</v>
      </c>
    </row>
    <row r="25" spans="1:19" x14ac:dyDescent="0.2">
      <c r="A25" s="333" t="s">
        <v>72</v>
      </c>
      <c r="B25" s="333" t="s">
        <v>71</v>
      </c>
      <c r="C25" s="333" t="s">
        <v>70</v>
      </c>
      <c r="D25" s="333" t="s">
        <v>69</v>
      </c>
      <c r="E25" s="333" t="s">
        <v>68</v>
      </c>
      <c r="F25" s="334" t="s">
        <v>63</v>
      </c>
      <c r="G25" s="334" t="s">
        <v>353</v>
      </c>
      <c r="H25" s="335" t="s">
        <v>64</v>
      </c>
      <c r="I25" s="335" t="s">
        <v>65</v>
      </c>
      <c r="J25" s="336" t="s">
        <v>66</v>
      </c>
      <c r="K25" s="336" t="s">
        <v>67</v>
      </c>
      <c r="L25" s="336" t="s">
        <v>355</v>
      </c>
      <c r="M25" s="337" t="s">
        <v>358</v>
      </c>
      <c r="N25" s="338" t="s">
        <v>74</v>
      </c>
      <c r="O25" s="338" t="s">
        <v>356</v>
      </c>
      <c r="P25" s="338" t="s">
        <v>516</v>
      </c>
      <c r="Q25" s="339" t="s">
        <v>75</v>
      </c>
      <c r="R25" s="339" t="s">
        <v>376</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182</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239</v>
      </c>
      <c r="E32" s="5"/>
      <c r="F32" s="5"/>
      <c r="G32" s="5"/>
      <c r="H32" s="5"/>
      <c r="I32" s="5"/>
      <c r="J32" s="5"/>
      <c r="K32" s="5"/>
      <c r="L32" s="5" t="s">
        <v>401</v>
      </c>
      <c r="M32" s="5"/>
      <c r="N32" s="5"/>
      <c r="O32" s="5"/>
      <c r="P32" s="5"/>
      <c r="Q32" s="5"/>
      <c r="R32" s="5"/>
      <c r="S32" s="5"/>
    </row>
    <row r="33" spans="1:16" x14ac:dyDescent="0.2">
      <c r="A33" s="329" t="s">
        <v>21</v>
      </c>
      <c r="B33" s="45">
        <f>HLOOKUP(1,E33:J37,2)</f>
        <v>1300</v>
      </c>
      <c r="D33" s="45" t="s">
        <v>442</v>
      </c>
      <c r="E33" s="45">
        <v>1</v>
      </c>
      <c r="F33" s="45">
        <v>2</v>
      </c>
      <c r="G33" s="45">
        <v>3</v>
      </c>
      <c r="H33" s="45">
        <v>4</v>
      </c>
      <c r="I33" s="45">
        <v>5</v>
      </c>
      <c r="J33" s="45">
        <v>6</v>
      </c>
      <c r="L33" s="45" t="s">
        <v>391</v>
      </c>
      <c r="M33" s="159">
        <v>0.1</v>
      </c>
      <c r="N33" s="45" t="s">
        <v>402</v>
      </c>
    </row>
    <row r="34" spans="1:16" x14ac:dyDescent="0.2">
      <c r="A34" s="329" t="s">
        <v>24</v>
      </c>
      <c r="B34" s="45">
        <v>100</v>
      </c>
      <c r="D34" s="45" t="s">
        <v>21</v>
      </c>
      <c r="E34" s="97">
        <v>1300</v>
      </c>
      <c r="F34" s="97">
        <v>1390</v>
      </c>
      <c r="G34" s="97">
        <v>1480</v>
      </c>
      <c r="H34" s="97">
        <v>1570</v>
      </c>
      <c r="I34" s="97">
        <v>1660</v>
      </c>
      <c r="J34" s="97">
        <v>1750</v>
      </c>
      <c r="K34" s="97"/>
      <c r="M34" s="159">
        <v>0.05</v>
      </c>
      <c r="N34" s="45" t="s">
        <v>403</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404</v>
      </c>
    </row>
    <row r="36" spans="1:16" x14ac:dyDescent="0.2">
      <c r="A36" s="329" t="str">
        <f>Overview!$A23</f>
        <v>Archer</v>
      </c>
      <c r="B36" s="45">
        <v>150</v>
      </c>
      <c r="D36" s="45" t="s">
        <v>5</v>
      </c>
      <c r="E36" s="97">
        <v>15000</v>
      </c>
      <c r="F36" s="97">
        <v>16000</v>
      </c>
      <c r="G36" s="97">
        <v>17000</v>
      </c>
      <c r="H36" s="97">
        <v>18000</v>
      </c>
      <c r="I36" s="97">
        <v>19000</v>
      </c>
      <c r="J36" s="97">
        <v>20000</v>
      </c>
      <c r="L36" s="45" t="s">
        <v>181</v>
      </c>
      <c r="M36" s="159">
        <v>-0.05</v>
      </c>
      <c r="N36" s="45" t="s">
        <v>405</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29" t="str">
        <f>Overview!$A25</f>
        <v>Cavalry</v>
      </c>
      <c r="B38" s="45">
        <v>0</v>
      </c>
      <c r="M38" s="159">
        <v>-0.1</v>
      </c>
      <c r="N38" s="45" t="s">
        <v>405</v>
      </c>
      <c r="O38" s="45">
        <v>-2</v>
      </c>
      <c r="P38" s="45" t="s">
        <v>406</v>
      </c>
    </row>
    <row r="39" spans="1:16" x14ac:dyDescent="0.2">
      <c r="A39" s="329" t="s">
        <v>25</v>
      </c>
      <c r="B39" s="45">
        <v>25</v>
      </c>
      <c r="D39" s="45" t="s">
        <v>375</v>
      </c>
      <c r="E39" s="97">
        <v>1</v>
      </c>
      <c r="F39" s="45">
        <v>2</v>
      </c>
      <c r="G39" s="45">
        <v>3</v>
      </c>
      <c r="H39" s="45">
        <v>4</v>
      </c>
      <c r="I39" s="45">
        <v>5</v>
      </c>
      <c r="J39" s="45">
        <v>6</v>
      </c>
      <c r="L39" s="45" t="s">
        <v>284</v>
      </c>
      <c r="M39" s="159">
        <v>-0.1</v>
      </c>
      <c r="N39" s="45" t="s">
        <v>407</v>
      </c>
    </row>
    <row r="40" spans="1:16" x14ac:dyDescent="0.2">
      <c r="A40" s="329" t="s">
        <v>1117</v>
      </c>
      <c r="B40" s="45">
        <v>0</v>
      </c>
      <c r="D40" s="45" t="s">
        <v>21</v>
      </c>
      <c r="E40" s="45">
        <v>1200</v>
      </c>
      <c r="F40" s="45">
        <v>1325</v>
      </c>
      <c r="G40" s="45">
        <v>1450</v>
      </c>
      <c r="H40" s="45">
        <v>1575</v>
      </c>
      <c r="I40" s="45">
        <v>1700</v>
      </c>
      <c r="J40" s="45">
        <v>1825</v>
      </c>
      <c r="M40" s="159">
        <v>-0.1</v>
      </c>
      <c r="N40" s="45" t="s">
        <v>408</v>
      </c>
    </row>
    <row r="41" spans="1:16" x14ac:dyDescent="0.2">
      <c r="A41" s="329" t="s">
        <v>26</v>
      </c>
      <c r="B41" s="45">
        <v>25</v>
      </c>
      <c r="D41" s="45" t="s">
        <v>2</v>
      </c>
      <c r="E41" s="45">
        <v>100000</v>
      </c>
      <c r="F41" s="45">
        <v>104750</v>
      </c>
      <c r="G41" s="45">
        <v>109500</v>
      </c>
      <c r="H41" s="45">
        <v>114250</v>
      </c>
      <c r="I41" s="45">
        <v>119000</v>
      </c>
      <c r="J41" s="45">
        <v>123750</v>
      </c>
      <c r="M41" s="159">
        <v>0.02</v>
      </c>
      <c r="N41" s="45" t="s">
        <v>409</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410</v>
      </c>
    </row>
    <row r="43" spans="1:16" x14ac:dyDescent="0.2">
      <c r="D43" s="45" t="s">
        <v>7</v>
      </c>
      <c r="E43" s="45">
        <v>15000</v>
      </c>
      <c r="F43" s="45">
        <v>15450</v>
      </c>
      <c r="G43" s="45">
        <v>15900</v>
      </c>
      <c r="H43" s="45">
        <v>16350</v>
      </c>
      <c r="I43" s="45">
        <v>16800</v>
      </c>
      <c r="J43" s="45">
        <v>17250</v>
      </c>
      <c r="M43" s="159">
        <v>-0.1</v>
      </c>
      <c r="N43" s="45" t="s">
        <v>411</v>
      </c>
    </row>
    <row r="44" spans="1:16" x14ac:dyDescent="0.2">
      <c r="A44" s="328" t="s">
        <v>78</v>
      </c>
      <c r="C44" s="97"/>
      <c r="M44" s="159">
        <v>0.05</v>
      </c>
      <c r="N44" s="45" t="s">
        <v>299</v>
      </c>
    </row>
    <row r="45" spans="1:16" x14ac:dyDescent="0.2">
      <c r="A45" s="329" t="s">
        <v>2</v>
      </c>
      <c r="B45" s="97">
        <f>HLOOKUP(1,E33:J37,3)</f>
        <v>100000</v>
      </c>
      <c r="C45" s="97"/>
      <c r="D45" s="45" t="s">
        <v>447</v>
      </c>
      <c r="L45" s="45" t="s">
        <v>73</v>
      </c>
      <c r="M45" s="159">
        <v>-0.1</v>
      </c>
      <c r="N45" s="45" t="s">
        <v>412</v>
      </c>
    </row>
    <row r="46" spans="1:16" x14ac:dyDescent="0.2">
      <c r="A46" s="329" t="s">
        <v>5</v>
      </c>
      <c r="B46" s="97">
        <f>HLOOKUP(1,E33:J37,4)</f>
        <v>15000</v>
      </c>
      <c r="C46" s="97"/>
      <c r="D46" s="45" t="s">
        <v>21</v>
      </c>
      <c r="E46" s="45">
        <v>100</v>
      </c>
      <c r="M46" s="159">
        <v>-0.2</v>
      </c>
      <c r="N46" s="45" t="s">
        <v>413</v>
      </c>
    </row>
    <row r="47" spans="1:16" x14ac:dyDescent="0.2">
      <c r="A47" s="329" t="s">
        <v>81</v>
      </c>
      <c r="B47" s="97">
        <f>HLOOKUP(1,E33:J37,5)</f>
        <v>15000</v>
      </c>
      <c r="C47" s="97"/>
      <c r="D47" s="45" t="s">
        <v>2</v>
      </c>
      <c r="E47" s="45">
        <v>5000</v>
      </c>
      <c r="M47" s="45">
        <v>1</v>
      </c>
      <c r="N47" s="45" t="s">
        <v>414</v>
      </c>
    </row>
    <row r="48" spans="1:16" x14ac:dyDescent="0.2">
      <c r="A48" s="329" t="s">
        <v>12</v>
      </c>
      <c r="B48" s="97">
        <v>0</v>
      </c>
      <c r="C48" s="97"/>
      <c r="D48" s="45" t="s">
        <v>5</v>
      </c>
      <c r="E48" s="45">
        <v>1500</v>
      </c>
      <c r="L48" s="45" t="s">
        <v>187</v>
      </c>
      <c r="M48" s="159">
        <v>-0.1</v>
      </c>
      <c r="N48" s="45" t="s">
        <v>415</v>
      </c>
    </row>
    <row r="49" spans="1:21" x14ac:dyDescent="0.2">
      <c r="A49" s="329" t="s">
        <v>3</v>
      </c>
      <c r="B49" s="97">
        <v>0</v>
      </c>
      <c r="C49" s="97"/>
      <c r="D49" s="45" t="s">
        <v>7</v>
      </c>
      <c r="E49" s="45">
        <v>2500</v>
      </c>
      <c r="M49" s="159">
        <v>-0.2</v>
      </c>
      <c r="N49" s="45" t="s">
        <v>416</v>
      </c>
    </row>
    <row r="50" spans="1:21" x14ac:dyDescent="0.2">
      <c r="A50" s="329" t="s">
        <v>4</v>
      </c>
      <c r="B50" s="97">
        <v>10000</v>
      </c>
      <c r="C50" s="97"/>
      <c r="D50" s="45" t="s">
        <v>3</v>
      </c>
      <c r="E50" s="45">
        <v>2500</v>
      </c>
      <c r="M50" s="45">
        <v>1</v>
      </c>
      <c r="N50" s="45" t="s">
        <v>417</v>
      </c>
    </row>
    <row r="51" spans="1:21" x14ac:dyDescent="0.2">
      <c r="A51" s="329" t="s">
        <v>82</v>
      </c>
      <c r="B51" s="97">
        <v>0</v>
      </c>
      <c r="D51" s="45" t="s">
        <v>12</v>
      </c>
      <c r="E51" s="45">
        <v>1000</v>
      </c>
      <c r="L51" s="45" t="s">
        <v>392</v>
      </c>
      <c r="M51" s="159">
        <v>-0.1</v>
      </c>
      <c r="N51" s="45" t="s">
        <v>418</v>
      </c>
    </row>
    <row r="52" spans="1:21" x14ac:dyDescent="0.2">
      <c r="D52" s="45" t="s">
        <v>448</v>
      </c>
      <c r="E52" s="45">
        <v>30</v>
      </c>
      <c r="L52" s="45" t="s">
        <v>393</v>
      </c>
      <c r="M52" s="159">
        <v>0.2</v>
      </c>
      <c r="N52" s="45" t="s">
        <v>419</v>
      </c>
      <c r="O52" s="159">
        <v>0.1</v>
      </c>
      <c r="P52" s="45" t="s">
        <v>403</v>
      </c>
    </row>
    <row r="53" spans="1:21" x14ac:dyDescent="0.2">
      <c r="A53" s="328" t="s">
        <v>86</v>
      </c>
      <c r="D53" s="45" t="s">
        <v>449</v>
      </c>
      <c r="E53" s="45">
        <v>30</v>
      </c>
      <c r="L53" s="45" t="s">
        <v>394</v>
      </c>
      <c r="M53" s="160">
        <v>0.06</v>
      </c>
      <c r="N53" s="45" t="s">
        <v>409</v>
      </c>
    </row>
    <row r="54" spans="1:21" x14ac:dyDescent="0.2">
      <c r="A54" s="329" t="s">
        <v>21</v>
      </c>
      <c r="B54" s="342">
        <v>0.03</v>
      </c>
      <c r="L54" s="45" t="s">
        <v>395</v>
      </c>
      <c r="M54" s="121">
        <v>0.125</v>
      </c>
      <c r="N54" s="45" t="s">
        <v>404</v>
      </c>
    </row>
    <row r="55" spans="1:21" x14ac:dyDescent="0.2">
      <c r="A55" s="329" t="s">
        <v>24</v>
      </c>
      <c r="B55" s="342">
        <v>0.01</v>
      </c>
      <c r="L55" s="45" t="s">
        <v>396</v>
      </c>
      <c r="M55" s="159">
        <v>-0.3</v>
      </c>
      <c r="N55" s="45" t="s">
        <v>420</v>
      </c>
    </row>
    <row r="56" spans="1:21" x14ac:dyDescent="0.2">
      <c r="A56" s="329" t="s">
        <v>14</v>
      </c>
      <c r="B56" s="342">
        <v>0.01</v>
      </c>
      <c r="L56" s="45" t="s">
        <v>397</v>
      </c>
      <c r="M56" s="159">
        <v>-0.2</v>
      </c>
      <c r="N56" s="45" t="s">
        <v>405</v>
      </c>
      <c r="O56" s="159">
        <v>0.15</v>
      </c>
      <c r="P56" s="45" t="s">
        <v>421</v>
      </c>
    </row>
    <row r="57" spans="1:21" x14ac:dyDescent="0.2">
      <c r="A57" s="329" t="s">
        <v>16</v>
      </c>
      <c r="B57" s="342">
        <v>0.01</v>
      </c>
      <c r="L57" s="45" t="s">
        <v>398</v>
      </c>
      <c r="M57" s="159">
        <v>-0.25</v>
      </c>
      <c r="N57" s="45" t="s">
        <v>422</v>
      </c>
    </row>
    <row r="58" spans="1:21" x14ac:dyDescent="0.2">
      <c r="A58" s="329" t="s">
        <v>15</v>
      </c>
      <c r="B58" s="342">
        <v>0.02</v>
      </c>
      <c r="L58" s="45" t="s">
        <v>399</v>
      </c>
      <c r="M58" s="159">
        <v>0.1</v>
      </c>
      <c r="N58" s="45" t="s">
        <v>299</v>
      </c>
      <c r="O58" s="159">
        <v>0.15</v>
      </c>
      <c r="P58" s="45" t="s">
        <v>423</v>
      </c>
    </row>
    <row r="59" spans="1:21" x14ac:dyDescent="0.2">
      <c r="L59" s="45" t="s">
        <v>400</v>
      </c>
      <c r="M59" s="45">
        <v>3</v>
      </c>
      <c r="N59" s="45" t="s">
        <v>424</v>
      </c>
    </row>
    <row r="60" spans="1:21" x14ac:dyDescent="0.2">
      <c r="A60" s="329" t="s">
        <v>87</v>
      </c>
      <c r="B60" s="45">
        <v>0.25</v>
      </c>
      <c r="C60" s="45" t="s">
        <v>88</v>
      </c>
      <c r="U60" s="160"/>
    </row>
    <row r="61" spans="1:21" x14ac:dyDescent="0.2">
      <c r="A61" s="329" t="s">
        <v>171</v>
      </c>
      <c r="B61" s="45">
        <v>2.7</v>
      </c>
      <c r="C61" s="45" t="s">
        <v>172</v>
      </c>
      <c r="T61" s="111"/>
      <c r="U61" s="160"/>
    </row>
    <row r="62" spans="1:21" x14ac:dyDescent="0.2">
      <c r="L62" s="45" t="s">
        <v>33</v>
      </c>
      <c r="M62" s="45">
        <v>6.4</v>
      </c>
      <c r="N62" s="45" t="s">
        <v>478</v>
      </c>
      <c r="U62" s="160"/>
    </row>
    <row r="63" spans="1:21" x14ac:dyDescent="0.2">
      <c r="A63" s="328" t="s">
        <v>174</v>
      </c>
    </row>
    <row r="64" spans="1:21" x14ac:dyDescent="0.2">
      <c r="A64" s="329" t="s">
        <v>350</v>
      </c>
      <c r="B64" s="45">
        <v>35</v>
      </c>
      <c r="C64" s="45" t="s">
        <v>351</v>
      </c>
      <c r="D64" s="45" t="s">
        <v>352</v>
      </c>
      <c r="L64" s="45" t="s">
        <v>477</v>
      </c>
      <c r="M64" s="45">
        <v>3780</v>
      </c>
      <c r="U64" s="159"/>
    </row>
    <row r="65" spans="1:21" x14ac:dyDescent="0.2">
      <c r="A65" s="329" t="s">
        <v>176</v>
      </c>
      <c r="B65" s="45">
        <v>30</v>
      </c>
      <c r="C65" s="45" t="s">
        <v>275</v>
      </c>
    </row>
    <row r="66" spans="1:21" x14ac:dyDescent="0.2">
      <c r="A66" s="329" t="s">
        <v>484</v>
      </c>
      <c r="B66" s="45">
        <v>15</v>
      </c>
      <c r="C66" s="45" t="s">
        <v>275</v>
      </c>
      <c r="L66" s="5" t="s">
        <v>640</v>
      </c>
      <c r="U66" s="159"/>
    </row>
    <row r="67" spans="1:21" x14ac:dyDescent="0.2">
      <c r="A67" s="329" t="s">
        <v>354</v>
      </c>
      <c r="B67" s="45">
        <v>15</v>
      </c>
      <c r="C67" s="45" t="s">
        <v>275</v>
      </c>
      <c r="L67" s="111" t="s">
        <v>545</v>
      </c>
      <c r="M67" s="434">
        <v>2.5000000000000001E-2</v>
      </c>
      <c r="N67" s="45" t="s">
        <v>645</v>
      </c>
      <c r="U67" s="159"/>
    </row>
    <row r="68" spans="1:21" x14ac:dyDescent="0.2">
      <c r="A68" s="329" t="s">
        <v>175</v>
      </c>
      <c r="B68" s="45">
        <v>15</v>
      </c>
      <c r="C68" s="45" t="str">
        <f>C65</f>
        <v>peasants</v>
      </c>
      <c r="L68" s="111" t="s">
        <v>547</v>
      </c>
      <c r="M68" s="434">
        <v>7.4999999999999997E-2</v>
      </c>
      <c r="N68" s="45" t="s">
        <v>646</v>
      </c>
    </row>
    <row r="69" spans="1:21" x14ac:dyDescent="0.2">
      <c r="A69" s="329" t="s">
        <v>276</v>
      </c>
      <c r="B69" s="45">
        <f>IF(OR(Overview!$B$14="Halfling",Overview!$B$14="Dwarf",Overview!$B$14="Gnome"),10,IF(race="Nomad",25,5))</f>
        <v>5</v>
      </c>
      <c r="L69" s="45" t="s">
        <v>549</v>
      </c>
      <c r="M69" s="2">
        <v>0.05</v>
      </c>
      <c r="N69" s="45" t="s">
        <v>647</v>
      </c>
    </row>
    <row r="70" spans="1:21" x14ac:dyDescent="0.2">
      <c r="L70" s="45" t="s">
        <v>551</v>
      </c>
      <c r="M70" s="434">
        <v>7.4999999999999997E-2</v>
      </c>
      <c r="N70" s="45" t="s">
        <v>645</v>
      </c>
      <c r="T70" s="111"/>
      <c r="U70" s="160"/>
    </row>
    <row r="71" spans="1:21" x14ac:dyDescent="0.2">
      <c r="A71" s="343" t="s">
        <v>277</v>
      </c>
      <c r="L71" s="45" t="s">
        <v>553</v>
      </c>
      <c r="M71" s="434">
        <v>2.5000000000000001E-2</v>
      </c>
      <c r="N71" s="45" t="s">
        <v>648</v>
      </c>
      <c r="U71" s="160"/>
    </row>
    <row r="72" spans="1:21" x14ac:dyDescent="0.2">
      <c r="A72" s="329" t="str">
        <f>CONCATENATE("Your race is ",Overview!B14)</f>
        <v>Your race is Human</v>
      </c>
      <c r="L72" s="45" t="s">
        <v>555</v>
      </c>
      <c r="M72" s="2">
        <v>0.05</v>
      </c>
      <c r="N72" s="45" t="s">
        <v>684</v>
      </c>
      <c r="S72" s="111"/>
      <c r="T72" s="111"/>
      <c r="U72" s="159"/>
    </row>
    <row r="73" spans="1:21" x14ac:dyDescent="0.2">
      <c r="L73" s="45" t="s">
        <v>556</v>
      </c>
      <c r="M73" s="2">
        <v>0.1</v>
      </c>
      <c r="N73" s="45" t="s">
        <v>769</v>
      </c>
      <c r="S73" s="111"/>
      <c r="T73" s="111"/>
      <c r="U73" s="159"/>
    </row>
    <row r="74" spans="1:21" x14ac:dyDescent="0.2">
      <c r="A74" s="328" t="s">
        <v>207</v>
      </c>
      <c r="B74" s="45" t="s">
        <v>278</v>
      </c>
      <c r="F74" s="45" t="s">
        <v>212</v>
      </c>
      <c r="L74" s="45" t="s">
        <v>557</v>
      </c>
      <c r="M74" s="2">
        <v>-0.1</v>
      </c>
      <c r="N74" s="45" t="s">
        <v>682</v>
      </c>
      <c r="O74" s="45" t="s">
        <v>651</v>
      </c>
      <c r="S74" s="111"/>
      <c r="T74" s="111"/>
      <c r="U74" s="159"/>
    </row>
    <row r="75" spans="1:21" x14ac:dyDescent="0.2">
      <c r="A75" s="329" t="s">
        <v>202</v>
      </c>
      <c r="B75" s="45">
        <v>2</v>
      </c>
      <c r="C75" s="45" t="s">
        <v>208</v>
      </c>
      <c r="D75" s="342"/>
      <c r="F75" s="342">
        <v>0.1</v>
      </c>
      <c r="G75" s="45" t="s">
        <v>107</v>
      </c>
      <c r="L75" s="45" t="s">
        <v>558</v>
      </c>
      <c r="M75" s="2">
        <v>-0.05</v>
      </c>
      <c r="N75" s="45" t="s">
        <v>689</v>
      </c>
      <c r="O75" s="159">
        <v>-0.15</v>
      </c>
      <c r="P75" s="45" t="s">
        <v>666</v>
      </c>
      <c r="S75" s="111"/>
      <c r="T75" s="111"/>
      <c r="U75" s="160"/>
    </row>
    <row r="76" spans="1:21" x14ac:dyDescent="0.2">
      <c r="A76" s="329" t="s">
        <v>203</v>
      </c>
      <c r="B76" s="45">
        <v>2</v>
      </c>
      <c r="C76" s="45" t="s">
        <v>208</v>
      </c>
      <c r="D76" s="342"/>
      <c r="F76" s="342">
        <v>0.1</v>
      </c>
      <c r="G76" s="45" t="s">
        <v>110</v>
      </c>
      <c r="L76" s="45" t="s">
        <v>560</v>
      </c>
      <c r="M76" s="434">
        <v>-2.5000000000000001E-2</v>
      </c>
      <c r="N76" s="45" t="s">
        <v>652</v>
      </c>
      <c r="S76" s="111"/>
      <c r="T76" s="111"/>
      <c r="U76" s="159"/>
    </row>
    <row r="77" spans="1:21" x14ac:dyDescent="0.2">
      <c r="A77" s="329" t="s">
        <v>209</v>
      </c>
      <c r="B77" s="45">
        <v>2.5</v>
      </c>
      <c r="C77" s="45" t="s">
        <v>208</v>
      </c>
      <c r="D77" s="342"/>
      <c r="F77" s="342">
        <v>0.1</v>
      </c>
      <c r="G77" s="45" t="s">
        <v>32</v>
      </c>
      <c r="L77" s="45" t="s">
        <v>562</v>
      </c>
      <c r="M77" s="2">
        <v>-0.1</v>
      </c>
      <c r="N77" s="45" t="s">
        <v>770</v>
      </c>
      <c r="S77" s="111"/>
      <c r="T77" s="111"/>
    </row>
    <row r="78" spans="1:21" x14ac:dyDescent="0.2">
      <c r="A78" s="329" t="s">
        <v>206</v>
      </c>
      <c r="B78" s="45">
        <v>2.5</v>
      </c>
      <c r="C78" s="45" t="s">
        <v>208</v>
      </c>
      <c r="D78" s="342"/>
      <c r="F78" s="342">
        <v>0.5</v>
      </c>
      <c r="G78" s="45" t="s">
        <v>213</v>
      </c>
      <c r="M78"/>
      <c r="S78" s="111"/>
      <c r="T78" s="111"/>
    </row>
    <row r="79" spans="1:21" x14ac:dyDescent="0.2">
      <c r="A79" s="329" t="s">
        <v>210</v>
      </c>
      <c r="B79" s="45">
        <v>2.5</v>
      </c>
      <c r="C79" s="45" t="s">
        <v>208</v>
      </c>
      <c r="D79" s="342"/>
      <c r="F79" s="342">
        <v>0.1</v>
      </c>
      <c r="G79" s="45" t="s">
        <v>106</v>
      </c>
      <c r="L79" s="45" t="s">
        <v>563</v>
      </c>
      <c r="M79" s="434">
        <v>-0.1</v>
      </c>
      <c r="N79" s="45" t="s">
        <v>654</v>
      </c>
      <c r="S79" s="111"/>
      <c r="T79" s="111"/>
      <c r="U79" s="160"/>
    </row>
    <row r="80" spans="1:21" x14ac:dyDescent="0.2">
      <c r="A80" s="329" t="s">
        <v>537</v>
      </c>
      <c r="B80" s="45">
        <v>5</v>
      </c>
      <c r="C80" s="45" t="s">
        <v>208</v>
      </c>
      <c r="D80" s="342"/>
      <c r="F80" s="342">
        <v>0.2</v>
      </c>
      <c r="G80" s="45" t="s">
        <v>110</v>
      </c>
      <c r="H80" s="45" t="s">
        <v>252</v>
      </c>
      <c r="L80" s="45" t="s">
        <v>564</v>
      </c>
      <c r="M80" s="2">
        <v>0.15</v>
      </c>
      <c r="N80" s="45" t="s">
        <v>655</v>
      </c>
      <c r="S80" s="111"/>
      <c r="T80" s="111"/>
      <c r="U80" s="159"/>
    </row>
    <row r="81" spans="1:23" x14ac:dyDescent="0.2">
      <c r="A81" s="329" t="s">
        <v>538</v>
      </c>
      <c r="B81" s="45">
        <v>5</v>
      </c>
      <c r="C81" s="45" t="s">
        <v>208</v>
      </c>
      <c r="D81" s="342"/>
      <c r="F81" s="342">
        <v>0.3</v>
      </c>
      <c r="G81" s="45" t="s">
        <v>539</v>
      </c>
      <c r="L81" s="45" t="s">
        <v>565</v>
      </c>
      <c r="M81" s="2">
        <v>-0.05</v>
      </c>
      <c r="N81" s="45" t="s">
        <v>656</v>
      </c>
      <c r="S81" s="111"/>
      <c r="T81" s="111"/>
      <c r="U81" s="159"/>
    </row>
    <row r="82" spans="1:23" x14ac:dyDescent="0.2">
      <c r="A82" s="329" t="s">
        <v>267</v>
      </c>
      <c r="B82" s="45">
        <f>B80</f>
        <v>5</v>
      </c>
      <c r="C82" s="45" t="str">
        <f>C80</f>
        <v>* Landsize</v>
      </c>
      <c r="D82" s="159"/>
      <c r="F82" s="342">
        <v>0.2</v>
      </c>
      <c r="G82" s="45" t="s">
        <v>32</v>
      </c>
      <c r="H82" s="45" t="s">
        <v>264</v>
      </c>
      <c r="L82" s="45" t="s">
        <v>567</v>
      </c>
      <c r="M82" s="2">
        <v>-0.2</v>
      </c>
      <c r="N82" s="45" t="s">
        <v>657</v>
      </c>
      <c r="S82" s="111"/>
      <c r="T82" s="111"/>
      <c r="U82" s="159"/>
    </row>
    <row r="83" spans="1:23" x14ac:dyDescent="0.2">
      <c r="A83" s="329" t="s">
        <v>266</v>
      </c>
      <c r="B83" s="45">
        <f>B80</f>
        <v>5</v>
      </c>
      <c r="C83" s="45" t="str">
        <f>C80</f>
        <v>* Landsize</v>
      </c>
      <c r="D83" s="159"/>
      <c r="F83" s="342">
        <v>0.1</v>
      </c>
      <c r="G83" s="45" t="s">
        <v>31</v>
      </c>
      <c r="L83" s="45" t="s">
        <v>569</v>
      </c>
      <c r="M83" s="2">
        <v>0.01</v>
      </c>
      <c r="N83" s="45" t="s">
        <v>658</v>
      </c>
      <c r="O83" s="45" t="s">
        <v>651</v>
      </c>
      <c r="S83" s="111"/>
      <c r="T83" s="111"/>
      <c r="U83" s="159"/>
    </row>
    <row r="84" spans="1:23" x14ac:dyDescent="0.2">
      <c r="A84" s="329" t="s">
        <v>304</v>
      </c>
      <c r="B84" s="45">
        <v>5</v>
      </c>
      <c r="C84" s="45" t="str">
        <f t="shared" ref="C84:C90" si="0">C83</f>
        <v>* Landsize</v>
      </c>
      <c r="D84" s="159"/>
      <c r="F84" s="159">
        <v>0.2</v>
      </c>
      <c r="G84" s="45" t="s">
        <v>107</v>
      </c>
      <c r="H84" s="159">
        <v>0.1</v>
      </c>
      <c r="I84" s="45" t="s">
        <v>108</v>
      </c>
      <c r="L84" s="45" t="s">
        <v>570</v>
      </c>
      <c r="M84" s="29">
        <v>-2.5000000000000001E-2</v>
      </c>
      <c r="N84" s="45" t="s">
        <v>650</v>
      </c>
      <c r="O84" s="160">
        <v>-2.5000000000000001E-2</v>
      </c>
      <c r="P84" s="45" t="s">
        <v>771</v>
      </c>
      <c r="S84" s="111"/>
      <c r="T84" s="111"/>
    </row>
    <row r="85" spans="1:23" x14ac:dyDescent="0.2">
      <c r="A85" s="329" t="s">
        <v>341</v>
      </c>
      <c r="B85" s="45">
        <f>B84</f>
        <v>5</v>
      </c>
      <c r="C85" s="45" t="str">
        <f t="shared" si="0"/>
        <v>* Landsize</v>
      </c>
      <c r="D85" s="159"/>
      <c r="F85" s="159">
        <v>0.1</v>
      </c>
      <c r="G85" s="45" t="s">
        <v>31</v>
      </c>
      <c r="H85" s="159">
        <v>0.1</v>
      </c>
      <c r="I85" s="45" t="s">
        <v>32</v>
      </c>
      <c r="L85" s="45" t="s">
        <v>572</v>
      </c>
      <c r="M85">
        <v>1.25</v>
      </c>
      <c r="N85" s="45" t="s">
        <v>686</v>
      </c>
      <c r="S85" s="111"/>
      <c r="T85" s="111"/>
      <c r="U85" s="160"/>
    </row>
    <row r="86" spans="1:23" x14ac:dyDescent="0.2">
      <c r="A86" s="329" t="s">
        <v>340</v>
      </c>
      <c r="B86" s="45">
        <f>B85</f>
        <v>5</v>
      </c>
      <c r="C86" s="45" t="str">
        <f t="shared" si="0"/>
        <v>* Landsize</v>
      </c>
      <c r="D86" s="159"/>
      <c r="F86" s="159">
        <v>0.15</v>
      </c>
      <c r="G86" s="45" t="s">
        <v>32</v>
      </c>
      <c r="H86" s="159" t="s">
        <v>342</v>
      </c>
      <c r="L86" s="45" t="s">
        <v>574</v>
      </c>
      <c r="M86" s="2">
        <v>-0.15</v>
      </c>
      <c r="N86" s="45" t="s">
        <v>654</v>
      </c>
      <c r="S86" s="111"/>
      <c r="T86" s="111"/>
      <c r="U86" s="159"/>
    </row>
    <row r="87" spans="1:23" x14ac:dyDescent="0.2">
      <c r="A87" s="329" t="s">
        <v>347</v>
      </c>
      <c r="B87" s="45">
        <v>5</v>
      </c>
      <c r="C87" s="344" t="str">
        <f t="shared" si="0"/>
        <v>* Landsize</v>
      </c>
      <c r="D87" s="159"/>
      <c r="F87" s="262">
        <v>15</v>
      </c>
      <c r="G87" s="45" t="s">
        <v>348</v>
      </c>
      <c r="H87" s="159"/>
      <c r="L87" s="45" t="s">
        <v>575</v>
      </c>
      <c r="M87" s="434">
        <v>-2.5000000000000001E-2</v>
      </c>
      <c r="N87" s="45" t="s">
        <v>650</v>
      </c>
      <c r="O87" s="45">
        <v>-1</v>
      </c>
      <c r="P87" s="45" t="s">
        <v>683</v>
      </c>
      <c r="S87" s="111"/>
      <c r="T87" s="111"/>
      <c r="U87" s="159"/>
    </row>
    <row r="88" spans="1:23" x14ac:dyDescent="0.2">
      <c r="A88" s="329" t="s">
        <v>432</v>
      </c>
      <c r="B88" s="45">
        <v>5</v>
      </c>
      <c r="C88" s="45" t="str">
        <f t="shared" si="0"/>
        <v>* Landsize</v>
      </c>
      <c r="D88" s="159"/>
      <c r="F88" s="159">
        <v>0.05</v>
      </c>
      <c r="G88" s="45" t="s">
        <v>31</v>
      </c>
      <c r="L88" s="45" t="s">
        <v>576</v>
      </c>
      <c r="M88" s="434">
        <v>-2.5000000000000001E-2</v>
      </c>
      <c r="N88" s="45" t="s">
        <v>656</v>
      </c>
      <c r="S88" s="111"/>
      <c r="T88" s="111"/>
      <c r="U88" s="160"/>
    </row>
    <row r="89" spans="1:23" x14ac:dyDescent="0.2">
      <c r="A89" s="329" t="s">
        <v>1104</v>
      </c>
      <c r="B89" s="45">
        <v>5</v>
      </c>
      <c r="C89" s="45" t="str">
        <f t="shared" si="0"/>
        <v>* Landsize</v>
      </c>
      <c r="D89" s="121">
        <v>0.01</v>
      </c>
      <c r="E89" s="45" t="s">
        <v>364</v>
      </c>
      <c r="F89" s="159">
        <v>0.1</v>
      </c>
      <c r="G89" s="45" t="s">
        <v>1106</v>
      </c>
      <c r="M89"/>
      <c r="S89" s="111"/>
      <c r="T89" s="111"/>
    </row>
    <row r="90" spans="1:23" x14ac:dyDescent="0.2">
      <c r="A90" s="329" t="s">
        <v>1114</v>
      </c>
      <c r="B90" s="45">
        <v>5</v>
      </c>
      <c r="C90" s="45" t="str">
        <f t="shared" si="0"/>
        <v>* Landsize</v>
      </c>
      <c r="F90" s="159">
        <v>0.15</v>
      </c>
      <c r="G90" s="45" t="s">
        <v>106</v>
      </c>
      <c r="L90" s="45" t="s">
        <v>578</v>
      </c>
      <c r="M90" s="2">
        <v>0.05</v>
      </c>
      <c r="N90" s="45" t="s">
        <v>659</v>
      </c>
      <c r="S90" s="111"/>
      <c r="T90" s="111"/>
    </row>
    <row r="91" spans="1:23" x14ac:dyDescent="0.2">
      <c r="L91" s="45" t="s">
        <v>580</v>
      </c>
      <c r="M91" s="434">
        <v>2.5000000000000001E-2</v>
      </c>
      <c r="N91" s="45" t="s">
        <v>661</v>
      </c>
      <c r="S91" s="111"/>
      <c r="T91" s="111"/>
      <c r="U91" s="160"/>
    </row>
    <row r="92" spans="1:23" x14ac:dyDescent="0.2">
      <c r="A92" s="328" t="s">
        <v>82</v>
      </c>
      <c r="L92" s="45" t="s">
        <v>582</v>
      </c>
      <c r="M92" s="434">
        <v>7.4999999999999997E-2</v>
      </c>
      <c r="N92" s="45" t="s">
        <v>662</v>
      </c>
      <c r="O92" s="121">
        <v>7.4999999999999997E-2</v>
      </c>
      <c r="P92" s="45" t="s">
        <v>663</v>
      </c>
      <c r="S92" s="111"/>
      <c r="T92" s="111"/>
      <c r="U92" s="160"/>
      <c r="W92" s="159"/>
    </row>
    <row r="93" spans="1:23" x14ac:dyDescent="0.2">
      <c r="A93" s="329" t="s">
        <v>274</v>
      </c>
      <c r="B93" s="45">
        <f>IF(Overview!$B$14="Kobold",40,30)</f>
        <v>30</v>
      </c>
      <c r="C93" s="45" t="s">
        <v>245</v>
      </c>
      <c r="L93" s="45" t="s">
        <v>583</v>
      </c>
      <c r="M93" s="434">
        <v>7.4999999999999997E-2</v>
      </c>
      <c r="N93" s="45" t="s">
        <v>646</v>
      </c>
      <c r="O93" s="159">
        <v>0.05</v>
      </c>
      <c r="P93" s="45" t="s">
        <v>664</v>
      </c>
      <c r="S93" s="111"/>
      <c r="T93" s="111"/>
      <c r="U93" s="160"/>
      <c r="W93" s="159"/>
    </row>
    <row r="94" spans="1:23" x14ac:dyDescent="0.2">
      <c r="L94" s="45" t="s">
        <v>585</v>
      </c>
      <c r="M94" s="434">
        <v>-1.7500000000000002E-2</v>
      </c>
      <c r="N94" s="45" t="s">
        <v>649</v>
      </c>
      <c r="S94" s="111"/>
      <c r="T94" s="111"/>
    </row>
    <row r="95" spans="1:23" x14ac:dyDescent="0.2">
      <c r="A95" s="328" t="s">
        <v>357</v>
      </c>
      <c r="L95" s="45" t="s">
        <v>586</v>
      </c>
      <c r="M95" s="434">
        <v>1.4999999999999999E-2</v>
      </c>
      <c r="N95" s="45" t="s">
        <v>660</v>
      </c>
      <c r="S95" s="111"/>
      <c r="T95" s="111"/>
      <c r="U95" s="159"/>
    </row>
    <row r="96" spans="1:23" x14ac:dyDescent="0.2">
      <c r="A96" s="329" t="s">
        <v>511</v>
      </c>
      <c r="B96" s="45">
        <v>250</v>
      </c>
      <c r="L96" s="45" t="s">
        <v>587</v>
      </c>
      <c r="M96" s="434">
        <v>-7.4999999999999997E-2</v>
      </c>
      <c r="N96" s="45" t="s">
        <v>650</v>
      </c>
      <c r="O96" s="45">
        <v>-2</v>
      </c>
      <c r="P96" s="45" t="s">
        <v>683</v>
      </c>
      <c r="S96" s="111"/>
      <c r="T96" s="111"/>
      <c r="U96" s="160"/>
    </row>
    <row r="97" spans="1:23" x14ac:dyDescent="0.2">
      <c r="A97" s="329" t="s">
        <v>512</v>
      </c>
      <c r="B97" s="159">
        <v>0.01</v>
      </c>
      <c r="L97" s="45" t="s">
        <v>588</v>
      </c>
      <c r="M97" s="2">
        <v>-0.5</v>
      </c>
      <c r="N97" s="45" t="s">
        <v>665</v>
      </c>
      <c r="S97" s="111"/>
      <c r="T97" s="111"/>
      <c r="U97" s="159"/>
    </row>
    <row r="98" spans="1:23" x14ac:dyDescent="0.2">
      <c r="A98" s="329" t="s">
        <v>513</v>
      </c>
      <c r="B98" s="159">
        <v>0.01</v>
      </c>
      <c r="L98" s="45" t="s">
        <v>590</v>
      </c>
      <c r="M98" s="2">
        <v>-0.1</v>
      </c>
      <c r="N98" s="45" t="s">
        <v>653</v>
      </c>
      <c r="S98" s="111"/>
      <c r="T98" s="111"/>
      <c r="U98" s="159"/>
      <c r="W98" s="159"/>
    </row>
    <row r="99" spans="1:23" x14ac:dyDescent="0.2">
      <c r="A99" s="329" t="s">
        <v>514</v>
      </c>
      <c r="B99" s="159">
        <v>0.01</v>
      </c>
      <c r="M99"/>
      <c r="S99" s="111"/>
      <c r="T99" s="111"/>
    </row>
    <row r="100" spans="1:23" x14ac:dyDescent="0.2">
      <c r="L100" s="45" t="s">
        <v>592</v>
      </c>
      <c r="M100" s="434">
        <v>0.125</v>
      </c>
      <c r="N100" s="45" t="s">
        <v>667</v>
      </c>
      <c r="S100" s="111"/>
      <c r="T100" s="111"/>
      <c r="U100" s="160"/>
    </row>
    <row r="101" spans="1:23" x14ac:dyDescent="0.2">
      <c r="A101" s="328" t="s">
        <v>463</v>
      </c>
      <c r="L101" s="45" t="s">
        <v>593</v>
      </c>
      <c r="M101"/>
      <c r="N101" s="45" t="s">
        <v>641</v>
      </c>
      <c r="S101" s="111"/>
      <c r="T101" s="111"/>
    </row>
    <row r="102" spans="1:23" x14ac:dyDescent="0.2">
      <c r="L102" s="45" t="s">
        <v>594</v>
      </c>
      <c r="M102" s="434">
        <v>2.5000000000000001E-2</v>
      </c>
      <c r="N102" s="45" t="s">
        <v>661</v>
      </c>
      <c r="O102" s="160">
        <v>7.4999999999999997E-2</v>
      </c>
      <c r="P102" s="45" t="s">
        <v>659</v>
      </c>
      <c r="S102" s="111"/>
      <c r="T102" s="111"/>
      <c r="U102" s="160"/>
      <c r="W102" s="160"/>
    </row>
    <row r="103" spans="1:23" x14ac:dyDescent="0.2">
      <c r="A103" s="329" t="s">
        <v>464</v>
      </c>
      <c r="B103" s="45" t="s">
        <v>216</v>
      </c>
      <c r="D103" s="342">
        <v>0.3</v>
      </c>
      <c r="E103" s="45" t="s">
        <v>443</v>
      </c>
      <c r="L103" s="45" t="s">
        <v>595</v>
      </c>
      <c r="M103" s="2">
        <v>0.05</v>
      </c>
      <c r="N103" s="45" t="s">
        <v>648</v>
      </c>
      <c r="S103" s="111"/>
      <c r="T103" s="111"/>
      <c r="U103" s="159"/>
    </row>
    <row r="104" spans="1:23" x14ac:dyDescent="0.2">
      <c r="B104" s="45" t="s">
        <v>214</v>
      </c>
      <c r="D104" s="342">
        <v>0.2</v>
      </c>
      <c r="E104" s="45" t="s">
        <v>443</v>
      </c>
      <c r="L104" s="45" t="s">
        <v>596</v>
      </c>
      <c r="M104">
        <v>1</v>
      </c>
      <c r="N104" s="45" t="s">
        <v>1090</v>
      </c>
      <c r="S104" s="111"/>
      <c r="T104" s="111"/>
      <c r="U104" s="159"/>
    </row>
    <row r="105" spans="1:23" x14ac:dyDescent="0.2">
      <c r="B105" s="45" t="s">
        <v>465</v>
      </c>
      <c r="D105" s="342">
        <v>0.3</v>
      </c>
      <c r="E105" s="45" t="s">
        <v>443</v>
      </c>
      <c r="L105" s="45" t="s">
        <v>597</v>
      </c>
      <c r="M105" s="434">
        <v>-7.4999999999999997E-2</v>
      </c>
      <c r="N105" s="45" t="s">
        <v>656</v>
      </c>
      <c r="S105" s="111"/>
      <c r="T105" s="111"/>
      <c r="U105" s="159"/>
    </row>
    <row r="106" spans="1:23" x14ac:dyDescent="0.2">
      <c r="B106" s="45" t="s">
        <v>466</v>
      </c>
      <c r="D106" s="342">
        <v>0.6</v>
      </c>
      <c r="E106" s="45" t="s">
        <v>443</v>
      </c>
      <c r="L106" s="45" t="s">
        <v>599</v>
      </c>
      <c r="M106">
        <v>-1</v>
      </c>
      <c r="N106" s="45" t="s">
        <v>772</v>
      </c>
      <c r="S106" s="111"/>
      <c r="T106" s="111"/>
      <c r="U106" s="160"/>
    </row>
    <row r="107" spans="1:23" x14ac:dyDescent="0.2">
      <c r="L107" s="45" t="s">
        <v>601</v>
      </c>
      <c r="M107" s="2">
        <v>-0.2</v>
      </c>
      <c r="N107" s="45" t="s">
        <v>668</v>
      </c>
      <c r="S107" s="111"/>
      <c r="T107" s="111"/>
    </row>
    <row r="108" spans="1:23" x14ac:dyDescent="0.2">
      <c r="A108" s="329" t="s">
        <v>467</v>
      </c>
      <c r="B108" s="45" t="s">
        <v>216</v>
      </c>
      <c r="D108" s="45">
        <v>4000</v>
      </c>
      <c r="E108" s="45" t="s">
        <v>515</v>
      </c>
      <c r="M108"/>
    </row>
    <row r="109" spans="1:23" x14ac:dyDescent="0.2">
      <c r="B109" s="45" t="s">
        <v>214</v>
      </c>
      <c r="D109" s="45">
        <v>4000</v>
      </c>
      <c r="E109" s="45" t="s">
        <v>515</v>
      </c>
      <c r="L109" s="45" t="s">
        <v>602</v>
      </c>
      <c r="M109" s="434">
        <v>2.5000000000000001E-2</v>
      </c>
      <c r="N109" s="45" t="s">
        <v>1091</v>
      </c>
      <c r="O109" s="45" t="s">
        <v>670</v>
      </c>
      <c r="S109" s="111"/>
      <c r="T109" s="111"/>
      <c r="U109" s="159"/>
      <c r="W109" s="159"/>
    </row>
    <row r="110" spans="1:23" x14ac:dyDescent="0.2">
      <c r="B110" s="45" t="s">
        <v>465</v>
      </c>
      <c r="D110" s="45">
        <v>7500</v>
      </c>
      <c r="E110" s="45" t="s">
        <v>515</v>
      </c>
      <c r="L110" s="45" t="s">
        <v>603</v>
      </c>
      <c r="M110" s="2">
        <v>-0.2</v>
      </c>
      <c r="N110" s="45" t="s">
        <v>687</v>
      </c>
      <c r="O110" s="159">
        <v>-0.1</v>
      </c>
      <c r="P110" s="45" t="s">
        <v>669</v>
      </c>
      <c r="S110" s="111"/>
      <c r="T110" s="111"/>
    </row>
    <row r="111" spans="1:23" x14ac:dyDescent="0.2">
      <c r="B111" s="45" t="s">
        <v>535</v>
      </c>
      <c r="D111" s="45">
        <v>5000</v>
      </c>
      <c r="E111" s="45" t="s">
        <v>515</v>
      </c>
      <c r="L111" s="45" t="s">
        <v>604</v>
      </c>
      <c r="M111" s="434">
        <v>-1.7500000000000002E-2</v>
      </c>
      <c r="N111" s="45" t="s">
        <v>649</v>
      </c>
      <c r="S111" s="111"/>
      <c r="T111" s="111"/>
      <c r="U111" s="159"/>
    </row>
    <row r="112" spans="1:23" x14ac:dyDescent="0.2">
      <c r="B112" s="45" t="s">
        <v>217</v>
      </c>
      <c r="D112" s="45">
        <v>5000</v>
      </c>
      <c r="E112" s="45" t="s">
        <v>515</v>
      </c>
      <c r="L112" s="45" t="s">
        <v>605</v>
      </c>
      <c r="M112" s="434">
        <v>2.5000000000000001E-2</v>
      </c>
      <c r="N112" s="45" t="s">
        <v>679</v>
      </c>
      <c r="O112" s="160">
        <v>7.4999999999999997E-2</v>
      </c>
      <c r="P112" s="45" t="s">
        <v>671</v>
      </c>
      <c r="S112" s="111"/>
      <c r="T112" s="111"/>
      <c r="U112" s="160"/>
      <c r="W112" s="160"/>
    </row>
    <row r="113" spans="1:23" x14ac:dyDescent="0.2">
      <c r="L113" s="45" t="s">
        <v>606</v>
      </c>
      <c r="M113" s="434">
        <v>-1.7500000000000002E-2</v>
      </c>
      <c r="N113" s="45" t="s">
        <v>649</v>
      </c>
      <c r="S113" s="111"/>
      <c r="T113" s="111"/>
      <c r="U113" s="159"/>
    </row>
    <row r="114" spans="1:23" x14ac:dyDescent="0.2">
      <c r="A114" s="328" t="s">
        <v>468</v>
      </c>
      <c r="F114" s="45" t="s">
        <v>470</v>
      </c>
      <c r="L114" s="45" t="s">
        <v>607</v>
      </c>
      <c r="M114">
        <v>1</v>
      </c>
      <c r="N114" s="45" t="s">
        <v>685</v>
      </c>
      <c r="S114" s="111"/>
      <c r="T114" s="111"/>
      <c r="U114" s="159"/>
      <c r="W114" s="159"/>
    </row>
    <row r="115" spans="1:23" x14ac:dyDescent="0.2">
      <c r="A115" s="329" t="s">
        <v>125</v>
      </c>
      <c r="B115" s="253"/>
      <c r="C115" s="345">
        <v>0.2</v>
      </c>
      <c r="D115" s="45" t="s">
        <v>475</v>
      </c>
      <c r="F115" s="180" t="s">
        <v>474</v>
      </c>
      <c r="L115" s="45" t="s">
        <v>608</v>
      </c>
      <c r="M115" s="2">
        <v>-0.01</v>
      </c>
      <c r="N115" s="45" t="s">
        <v>673</v>
      </c>
      <c r="S115" s="111"/>
      <c r="T115" s="111"/>
      <c r="U115" s="159"/>
    </row>
    <row r="116" spans="1:23" x14ac:dyDescent="0.2">
      <c r="A116" s="329" t="s">
        <v>126</v>
      </c>
      <c r="B116" s="119" t="s">
        <v>299</v>
      </c>
      <c r="C116" s="345">
        <v>0.2</v>
      </c>
      <c r="D116" s="45" t="s">
        <v>475</v>
      </c>
      <c r="F116" s="180" t="s">
        <v>474</v>
      </c>
      <c r="M116"/>
      <c r="S116" s="111"/>
      <c r="T116" s="111"/>
    </row>
    <row r="117" spans="1:23" x14ac:dyDescent="0.2">
      <c r="B117" s="45" t="s">
        <v>298</v>
      </c>
      <c r="C117" s="121">
        <v>0.2</v>
      </c>
      <c r="D117" s="45" t="s">
        <v>475</v>
      </c>
      <c r="F117" s="180" t="s">
        <v>474</v>
      </c>
      <c r="L117" s="45" t="s">
        <v>609</v>
      </c>
      <c r="M117" s="434">
        <v>1.4999999999999999E-2</v>
      </c>
      <c r="N117" s="45" t="s">
        <v>660</v>
      </c>
      <c r="S117" s="111"/>
      <c r="T117" s="111"/>
      <c r="U117" s="160"/>
    </row>
    <row r="118" spans="1:23" x14ac:dyDescent="0.2">
      <c r="A118" s="329" t="s">
        <v>141</v>
      </c>
      <c r="B118" s="253"/>
      <c r="C118" s="345">
        <v>0.2</v>
      </c>
      <c r="D118" s="45" t="s">
        <v>475</v>
      </c>
      <c r="F118" s="180">
        <v>4</v>
      </c>
      <c r="L118" s="45" t="s">
        <v>610</v>
      </c>
      <c r="M118" s="434">
        <v>2.5000000000000001E-2</v>
      </c>
      <c r="N118" s="45" t="s">
        <v>661</v>
      </c>
      <c r="O118" s="159">
        <v>-0.05</v>
      </c>
      <c r="P118" s="45" t="s">
        <v>674</v>
      </c>
      <c r="S118" s="111"/>
      <c r="T118" s="111"/>
      <c r="U118" s="160"/>
      <c r="W118" s="159"/>
    </row>
    <row r="119" spans="1:23" x14ac:dyDescent="0.2">
      <c r="A119" s="329" t="s">
        <v>133</v>
      </c>
      <c r="B119" s="253"/>
      <c r="C119" s="345">
        <v>0.2</v>
      </c>
      <c r="D119" s="45" t="s">
        <v>476</v>
      </c>
      <c r="F119" s="180">
        <v>2</v>
      </c>
      <c r="L119" s="45" t="s">
        <v>612</v>
      </c>
      <c r="M119" s="2">
        <v>-0.05</v>
      </c>
      <c r="N119" s="45" t="s">
        <v>656</v>
      </c>
      <c r="O119" s="159">
        <v>-0.05</v>
      </c>
      <c r="P119" s="45" t="s">
        <v>669</v>
      </c>
      <c r="Q119" s="45">
        <v>5</v>
      </c>
      <c r="R119" s="45" t="s">
        <v>690</v>
      </c>
      <c r="S119" s="111"/>
      <c r="T119" s="111"/>
      <c r="U119" s="159"/>
      <c r="W119" s="159"/>
    </row>
    <row r="120" spans="1:23" x14ac:dyDescent="0.2">
      <c r="A120" s="329" t="s">
        <v>1096</v>
      </c>
      <c r="B120" s="119" t="s">
        <v>299</v>
      </c>
      <c r="C120" s="345">
        <v>0.1</v>
      </c>
      <c r="D120" s="45" t="s">
        <v>302</v>
      </c>
      <c r="F120" s="180">
        <v>0</v>
      </c>
      <c r="L120" s="45" t="s">
        <v>613</v>
      </c>
      <c r="M120" s="434">
        <v>-0.125</v>
      </c>
      <c r="N120" s="45" t="s">
        <v>675</v>
      </c>
      <c r="S120" s="111"/>
      <c r="T120" s="111"/>
      <c r="U120" s="160"/>
    </row>
    <row r="121" spans="1:23" x14ac:dyDescent="0.2">
      <c r="B121" s="45" t="s">
        <v>298</v>
      </c>
      <c r="C121" s="346">
        <v>0.1</v>
      </c>
      <c r="D121" s="45" t="s">
        <v>302</v>
      </c>
      <c r="F121" s="180">
        <v>0</v>
      </c>
      <c r="L121" s="45" t="s">
        <v>615</v>
      </c>
      <c r="M121" s="2">
        <v>0.01</v>
      </c>
      <c r="N121" s="45" t="s">
        <v>660</v>
      </c>
      <c r="O121" s="159">
        <v>0.1</v>
      </c>
      <c r="P121" s="45" t="s">
        <v>672</v>
      </c>
      <c r="S121" s="111"/>
      <c r="T121" s="111"/>
      <c r="U121" s="159"/>
    </row>
    <row r="122" spans="1:23" x14ac:dyDescent="0.2">
      <c r="A122" s="329" t="s">
        <v>469</v>
      </c>
      <c r="B122" s="253"/>
      <c r="C122" s="345">
        <v>0.2</v>
      </c>
      <c r="D122" s="45" t="s">
        <v>476</v>
      </c>
      <c r="F122" s="180">
        <v>3</v>
      </c>
      <c r="L122" s="45" t="s">
        <v>616</v>
      </c>
      <c r="M122" s="29">
        <v>7.4999999999999997E-2</v>
      </c>
      <c r="N122" s="45" t="s">
        <v>688</v>
      </c>
      <c r="O122" s="159">
        <v>-0.05</v>
      </c>
      <c r="P122" s="45" t="s">
        <v>676</v>
      </c>
      <c r="S122" s="111"/>
      <c r="T122" s="111"/>
      <c r="U122" s="159"/>
      <c r="W122" s="159"/>
    </row>
    <row r="123" spans="1:23" x14ac:dyDescent="0.2">
      <c r="A123" s="329" t="s">
        <v>339</v>
      </c>
      <c r="C123" s="180">
        <v>1</v>
      </c>
      <c r="D123" s="45" t="s">
        <v>471</v>
      </c>
      <c r="F123" s="180">
        <v>3</v>
      </c>
      <c r="M123"/>
      <c r="S123" s="111"/>
      <c r="T123" s="111"/>
    </row>
    <row r="124" spans="1:23" x14ac:dyDescent="0.2">
      <c r="A124" s="329" t="s">
        <v>381</v>
      </c>
      <c r="B124" s="180" t="s">
        <v>473</v>
      </c>
      <c r="C124" s="119">
        <v>500</v>
      </c>
      <c r="D124" s="45" t="s">
        <v>472</v>
      </c>
      <c r="F124" s="180">
        <v>0</v>
      </c>
      <c r="L124" s="45" t="s">
        <v>617</v>
      </c>
      <c r="M124" s="2">
        <v>0.3</v>
      </c>
      <c r="N124" s="45" t="s">
        <v>677</v>
      </c>
      <c r="S124" s="111"/>
      <c r="T124" s="111"/>
      <c r="U124" s="159"/>
    </row>
    <row r="125" spans="1:23" x14ac:dyDescent="0.2">
      <c r="A125" s="329" t="s">
        <v>363</v>
      </c>
      <c r="B125" s="180" t="s">
        <v>473</v>
      </c>
      <c r="C125" s="119">
        <v>250</v>
      </c>
      <c r="D125" s="45" t="s">
        <v>472</v>
      </c>
      <c r="F125" s="180">
        <v>3</v>
      </c>
      <c r="L125" s="45" t="s">
        <v>619</v>
      </c>
      <c r="M125">
        <v>1.25</v>
      </c>
      <c r="N125" s="45" t="s">
        <v>692</v>
      </c>
      <c r="S125" s="111"/>
      <c r="T125" s="111"/>
      <c r="U125" s="159"/>
    </row>
    <row r="126" spans="1:23" x14ac:dyDescent="0.2">
      <c r="A126" s="329" t="s">
        <v>430</v>
      </c>
      <c r="B126" s="253"/>
      <c r="C126" s="121">
        <v>0.12</v>
      </c>
      <c r="D126" s="45" t="s">
        <v>506</v>
      </c>
      <c r="F126" s="180">
        <v>3</v>
      </c>
      <c r="L126" s="45" t="s">
        <v>621</v>
      </c>
      <c r="M126" s="434">
        <v>-7.4999999999999997E-2</v>
      </c>
      <c r="N126" s="45" t="s">
        <v>676</v>
      </c>
      <c r="O126" s="160">
        <v>7.4999999999999997E-3</v>
      </c>
      <c r="P126" s="45" t="s">
        <v>773</v>
      </c>
      <c r="S126" s="111"/>
      <c r="T126" s="111"/>
      <c r="U126" s="159"/>
    </row>
    <row r="127" spans="1:23" x14ac:dyDescent="0.2">
      <c r="L127" s="45" t="s">
        <v>622</v>
      </c>
      <c r="M127" s="434">
        <v>2.5000000000000001E-2</v>
      </c>
      <c r="N127" s="45" t="s">
        <v>679</v>
      </c>
      <c r="S127" s="111"/>
      <c r="T127" s="111"/>
      <c r="U127" s="160"/>
    </row>
    <row r="128" spans="1:23" x14ac:dyDescent="0.2">
      <c r="A128" s="328" t="s">
        <v>270</v>
      </c>
      <c r="L128" s="45" t="s">
        <v>623</v>
      </c>
      <c r="M128" s="434">
        <v>-2.5000000000000001E-2</v>
      </c>
      <c r="N128" s="45" t="s">
        <v>652</v>
      </c>
      <c r="O128" s="5">
        <v>2</v>
      </c>
      <c r="P128" s="5" t="s">
        <v>691</v>
      </c>
      <c r="S128" s="111"/>
      <c r="T128" s="111"/>
      <c r="U128" s="160"/>
    </row>
    <row r="129" spans="1:23" x14ac:dyDescent="0.2">
      <c r="A129" s="329" t="s">
        <v>487</v>
      </c>
      <c r="B129" s="45">
        <v>20</v>
      </c>
      <c r="M129"/>
      <c r="S129" s="111"/>
      <c r="T129" s="111"/>
    </row>
    <row r="130" spans="1:23" x14ac:dyDescent="0.2">
      <c r="A130" s="329" t="s">
        <v>485</v>
      </c>
      <c r="B130" s="45">
        <v>0</v>
      </c>
      <c r="C130" s="45" t="s">
        <v>486</v>
      </c>
      <c r="L130" s="45" t="s">
        <v>625</v>
      </c>
      <c r="M130" s="2">
        <v>0.6</v>
      </c>
      <c r="N130" s="45" t="s">
        <v>774</v>
      </c>
      <c r="S130" s="111"/>
      <c r="T130" s="111"/>
    </row>
    <row r="131" spans="1:23" x14ac:dyDescent="0.2">
      <c r="L131" s="45" t="s">
        <v>626</v>
      </c>
      <c r="M131" s="434">
        <v>-7.4999999999999997E-2</v>
      </c>
      <c r="N131" s="45" t="s">
        <v>676</v>
      </c>
      <c r="S131" s="111"/>
      <c r="T131" s="111"/>
      <c r="U131" s="160"/>
    </row>
    <row r="132" spans="1:23" x14ac:dyDescent="0.2">
      <c r="A132" s="328" t="s">
        <v>775</v>
      </c>
      <c r="L132" s="45" t="s">
        <v>628</v>
      </c>
      <c r="M132">
        <v>2</v>
      </c>
      <c r="N132" s="45" t="s">
        <v>693</v>
      </c>
      <c r="S132" s="111"/>
      <c r="T132" s="111"/>
    </row>
    <row r="133" spans="1:23" x14ac:dyDescent="0.2">
      <c r="A133" s="329" t="s">
        <v>89</v>
      </c>
      <c r="B133" s="45" t="s">
        <v>3</v>
      </c>
      <c r="L133" s="45" t="s">
        <v>630</v>
      </c>
      <c r="M133" s="2">
        <v>0.3</v>
      </c>
      <c r="N133" s="45" t="s">
        <v>680</v>
      </c>
      <c r="S133" s="111"/>
      <c r="T133" s="111"/>
      <c r="U133" s="159"/>
    </row>
    <row r="134" spans="1:23" x14ac:dyDescent="0.2">
      <c r="A134" s="329" t="s">
        <v>90</v>
      </c>
      <c r="B134" s="45" t="s">
        <v>3</v>
      </c>
      <c r="M134"/>
      <c r="S134" s="111"/>
      <c r="T134" s="111"/>
    </row>
    <row r="135" spans="1:23" x14ac:dyDescent="0.2">
      <c r="A135" s="329" t="s">
        <v>91</v>
      </c>
      <c r="B135" s="45" t="s">
        <v>3</v>
      </c>
      <c r="L135" s="45" t="s">
        <v>631</v>
      </c>
      <c r="M135" s="2">
        <v>-0.15</v>
      </c>
      <c r="N135" s="45" t="s">
        <v>689</v>
      </c>
      <c r="O135" s="159">
        <v>-0.05</v>
      </c>
      <c r="P135" s="45" t="s">
        <v>666</v>
      </c>
      <c r="S135" s="111"/>
      <c r="T135" s="111"/>
      <c r="U135" s="159"/>
      <c r="W135" s="159"/>
    </row>
    <row r="136" spans="1:23" x14ac:dyDescent="0.2">
      <c r="A136" s="329" t="s">
        <v>92</v>
      </c>
      <c r="B136" s="45" t="s">
        <v>3</v>
      </c>
      <c r="L136" s="45" t="s">
        <v>633</v>
      </c>
      <c r="M136" s="434">
        <v>-2.5000000000000001E-2</v>
      </c>
      <c r="N136" s="45" t="s">
        <v>656</v>
      </c>
      <c r="S136" s="111"/>
      <c r="T136" s="111"/>
      <c r="U136" s="160"/>
    </row>
    <row r="137" spans="1:23" x14ac:dyDescent="0.2">
      <c r="A137" s="329" t="s">
        <v>93</v>
      </c>
      <c r="B137" s="45" t="s">
        <v>3</v>
      </c>
      <c r="L137" s="45" t="s">
        <v>634</v>
      </c>
      <c r="M137" s="2">
        <v>-0.25</v>
      </c>
      <c r="N137" s="45" t="s">
        <v>681</v>
      </c>
      <c r="S137" s="111"/>
      <c r="T137" s="111"/>
      <c r="U137" s="159"/>
    </row>
    <row r="138" spans="1:23" x14ac:dyDescent="0.2">
      <c r="A138" s="329" t="s">
        <v>94</v>
      </c>
      <c r="B138" s="45" t="s">
        <v>3</v>
      </c>
      <c r="M138"/>
      <c r="S138" s="111"/>
      <c r="T138" s="111"/>
    </row>
    <row r="139" spans="1:23" x14ac:dyDescent="0.2">
      <c r="A139" s="329" t="s">
        <v>95</v>
      </c>
      <c r="B139" s="45" t="s">
        <v>3</v>
      </c>
      <c r="L139" s="45" t="s">
        <v>635</v>
      </c>
      <c r="M139" s="2">
        <v>0.05</v>
      </c>
      <c r="N139" s="45" t="s">
        <v>678</v>
      </c>
      <c r="S139" s="111"/>
      <c r="T139" s="111"/>
      <c r="U139" s="160"/>
    </row>
    <row r="140" spans="1:23" x14ac:dyDescent="0.2">
      <c r="A140" s="329" t="s">
        <v>96</v>
      </c>
      <c r="B140" s="45" t="s">
        <v>7</v>
      </c>
      <c r="L140" s="45" t="s">
        <v>637</v>
      </c>
      <c r="M140" s="434">
        <v>-7.4999999999999997E-2</v>
      </c>
      <c r="N140" s="45" t="s">
        <v>675</v>
      </c>
      <c r="S140" s="111"/>
      <c r="T140" s="111"/>
      <c r="U140" s="159"/>
    </row>
    <row r="141" spans="1:23" x14ac:dyDescent="0.2">
      <c r="A141" s="329" t="s">
        <v>97</v>
      </c>
      <c r="B141" s="45" t="s">
        <v>3</v>
      </c>
      <c r="M141"/>
    </row>
    <row r="142" spans="1:23" x14ac:dyDescent="0.2">
      <c r="A142" s="329" t="s">
        <v>29</v>
      </c>
      <c r="B142" s="45" t="s">
        <v>3</v>
      </c>
      <c r="L142" s="45" t="s">
        <v>638</v>
      </c>
      <c r="M142" s="2">
        <v>-0.05</v>
      </c>
      <c r="N142" s="45" t="s">
        <v>676</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335</v>
      </c>
      <c r="B149" s="45" t="s">
        <v>3</v>
      </c>
      <c r="L149" s="111"/>
      <c r="M149" s="159"/>
    </row>
    <row r="150" spans="1:13" x14ac:dyDescent="0.2">
      <c r="A150" s="329" t="s">
        <v>349</v>
      </c>
      <c r="B150" s="45" t="s">
        <v>3</v>
      </c>
    </row>
    <row r="151" spans="1:13" x14ac:dyDescent="0.2">
      <c r="A151" s="329" t="s">
        <v>145</v>
      </c>
      <c r="B151" s="45" t="s">
        <v>3</v>
      </c>
    </row>
    <row r="152" spans="1:13" x14ac:dyDescent="0.2">
      <c r="A152" s="329" t="s">
        <v>507</v>
      </c>
      <c r="B152" s="45" t="s">
        <v>12</v>
      </c>
    </row>
    <row r="154" spans="1:13" x14ac:dyDescent="0.2">
      <c r="A154" s="329" t="s">
        <v>1071</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1072</v>
      </c>
    </row>
    <row r="161" spans="1:2" x14ac:dyDescent="0.2">
      <c r="A161" s="329" t="s">
        <v>284</v>
      </c>
      <c r="B161" s="159">
        <v>0.75</v>
      </c>
    </row>
  </sheetData>
  <phoneticPr fontId="0" type="noConversion"/>
  <conditionalFormatting sqref="J25:L25">
    <cfRule type="expression" dxfId="2"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60" activePane="bottomLeft" state="frozenSplit"/>
      <selection pane="bottomLeft" activeCell="L69" sqref="L69"/>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288</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780</v>
      </c>
      <c r="D4" s="347" t="s">
        <v>781</v>
      </c>
      <c r="E4" s="348" t="s">
        <v>782</v>
      </c>
      <c r="F4" s="348" t="s">
        <v>783</v>
      </c>
      <c r="G4" s="348" t="s">
        <v>784</v>
      </c>
      <c r="H4" s="351" t="s">
        <v>785</v>
      </c>
      <c r="I4" s="351" t="s">
        <v>236</v>
      </c>
      <c r="J4" s="436" t="s">
        <v>169</v>
      </c>
      <c r="K4" s="436" t="s">
        <v>105</v>
      </c>
      <c r="L4" s="436" t="s">
        <v>166</v>
      </c>
      <c r="M4" s="436" t="s">
        <v>107</v>
      </c>
      <c r="N4" s="436" t="s">
        <v>108</v>
      </c>
      <c r="O4" s="436" t="s">
        <v>109</v>
      </c>
      <c r="P4" s="436" t="s">
        <v>110</v>
      </c>
      <c r="Q4" s="436" t="s">
        <v>111</v>
      </c>
      <c r="R4" s="436" t="s">
        <v>112</v>
      </c>
      <c r="S4" s="436" t="s">
        <v>32</v>
      </c>
      <c r="T4" s="436" t="s">
        <v>31</v>
      </c>
      <c r="U4" s="437" t="s">
        <v>167</v>
      </c>
      <c r="V4" s="436" t="s">
        <v>168</v>
      </c>
      <c r="W4" s="436" t="s">
        <v>445</v>
      </c>
      <c r="X4" s="436" t="s">
        <v>495</v>
      </c>
      <c r="Y4" s="436" t="s">
        <v>496</v>
      </c>
      <c r="Z4" s="436" t="s">
        <v>533</v>
      </c>
      <c r="AA4" s="436" t="s">
        <v>1095</v>
      </c>
    </row>
    <row r="5" spans="1:27" s="358" customFormat="1" ht="19.5" customHeight="1" x14ac:dyDescent="0.2">
      <c r="A5" s="298" t="s">
        <v>89</v>
      </c>
      <c r="B5" s="352" t="s">
        <v>98</v>
      </c>
      <c r="C5" s="298" t="s">
        <v>249</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249</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249</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249</v>
      </c>
      <c r="D8" s="359" t="s">
        <v>116</v>
      </c>
      <c r="E8" s="360">
        <v>6</v>
      </c>
      <c r="F8" s="360">
        <v>3</v>
      </c>
      <c r="G8" s="360">
        <v>1200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249</v>
      </c>
      <c r="D9" s="367" t="s">
        <v>1101</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249</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249</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249</v>
      </c>
      <c r="D12" s="353" t="s">
        <v>1102</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251</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251</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251</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251</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380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250</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250</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250</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250</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251</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251</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251</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251</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375">
        <v>0.05</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250</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250</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250</v>
      </c>
      <c r="D39" s="353" t="s">
        <v>361</v>
      </c>
      <c r="E39" s="96">
        <v>5</v>
      </c>
      <c r="F39" s="96">
        <v>3</v>
      </c>
      <c r="G39" s="96">
        <v>1050</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250</v>
      </c>
      <c r="D40" s="359" t="s">
        <v>146</v>
      </c>
      <c r="E40" s="360">
        <v>6</v>
      </c>
      <c r="F40" s="360">
        <v>2</v>
      </c>
      <c r="G40" s="360">
        <v>1275</v>
      </c>
      <c r="H40" s="361">
        <v>100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249</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249</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249</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249</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248</v>
      </c>
      <c r="D45" s="367" t="s">
        <v>147</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248</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248</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248</v>
      </c>
      <c r="D48" s="359" t="s">
        <v>1096</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1108</v>
      </c>
      <c r="E49" s="368">
        <v>2.5</v>
      </c>
      <c r="F49" s="368"/>
      <c r="G49" s="368">
        <v>225</v>
      </c>
      <c r="H49" s="358">
        <v>0</v>
      </c>
      <c r="I49" s="366">
        <v>5</v>
      </c>
      <c r="J49" s="369">
        <v>0.15</v>
      </c>
      <c r="K49" s="370"/>
      <c r="L49" s="370"/>
      <c r="M49" s="370"/>
      <c r="N49" s="370"/>
      <c r="O49" s="370">
        <v>0.1</v>
      </c>
      <c r="P49" s="370"/>
      <c r="Q49" s="370"/>
      <c r="R49" s="370">
        <v>-0.75</v>
      </c>
      <c r="S49" s="370"/>
      <c r="T49" s="370"/>
      <c r="U49" s="370"/>
      <c r="V49" s="370"/>
      <c r="W49" s="96"/>
      <c r="X49" s="356"/>
      <c r="Y49" s="368"/>
      <c r="Z49" s="368"/>
      <c r="AA49" s="357"/>
    </row>
    <row r="50" spans="1:27" ht="19.5" customHeight="1" x14ac:dyDescent="0.2">
      <c r="A50" s="298" t="s">
        <v>100</v>
      </c>
      <c r="B50" s="352" t="s">
        <v>30</v>
      </c>
      <c r="C50" s="298" t="s">
        <v>60</v>
      </c>
      <c r="D50" s="353" t="s">
        <v>151</v>
      </c>
      <c r="F50" s="96">
        <v>2.5</v>
      </c>
      <c r="G50" s="96">
        <v>225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152</v>
      </c>
      <c r="E51" s="96">
        <v>2</v>
      </c>
      <c r="F51" s="96">
        <v>4</v>
      </c>
      <c r="G51" s="96">
        <v>860</v>
      </c>
      <c r="H51" s="298">
        <v>0</v>
      </c>
      <c r="I51" s="352">
        <f>1.8 * MIN(6, MAX(E51,F51)) + 0.45 * MIN(6, MIN(E51,F51)) + IF(E51&gt;6, (E51-6)*0.2) + IF(F51&gt;6, (F51-6)*0.2)</f>
        <v>8.1</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380</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153</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1097</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1098</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1099</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248</v>
      </c>
      <c r="D57" s="367" t="s">
        <v>154</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248</v>
      </c>
      <c r="D58" s="353" t="s">
        <v>155</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248</v>
      </c>
      <c r="D59" s="353" t="s">
        <v>156</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248</v>
      </c>
      <c r="D60" s="359" t="s">
        <v>157</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30</v>
      </c>
      <c r="C61" s="358" t="s">
        <v>250</v>
      </c>
      <c r="D61" s="367" t="s">
        <v>158</v>
      </c>
      <c r="E61" s="368">
        <v>2</v>
      </c>
      <c r="F61" s="368"/>
      <c r="G61" s="368">
        <v>245</v>
      </c>
      <c r="H61" s="358">
        <v>20</v>
      </c>
      <c r="I61" s="366">
        <v>5</v>
      </c>
      <c r="J61" s="369">
        <v>0.4</v>
      </c>
      <c r="K61" s="370">
        <v>0.2</v>
      </c>
      <c r="L61" s="370"/>
      <c r="M61" s="370"/>
      <c r="N61" s="370"/>
      <c r="O61" s="370"/>
      <c r="P61" s="370"/>
      <c r="Q61" s="370"/>
      <c r="R61" s="370">
        <v>-0.3</v>
      </c>
      <c r="S61" s="370"/>
      <c r="T61" s="370"/>
      <c r="U61" s="370">
        <v>-0.1</v>
      </c>
      <c r="V61" s="370">
        <v>-0.1</v>
      </c>
      <c r="W61" s="96"/>
      <c r="X61" s="356"/>
      <c r="Y61" s="368"/>
      <c r="Z61" s="368"/>
      <c r="AA61" s="357"/>
    </row>
    <row r="62" spans="1:27" ht="19.5" customHeight="1" x14ac:dyDescent="0.2">
      <c r="A62" s="298" t="s">
        <v>103</v>
      </c>
      <c r="B62" s="352" t="s">
        <v>30</v>
      </c>
      <c r="C62" s="298" t="s">
        <v>250</v>
      </c>
      <c r="D62" s="353" t="s">
        <v>159</v>
      </c>
      <c r="F62" s="96">
        <v>2</v>
      </c>
      <c r="G62" s="96">
        <v>250</v>
      </c>
      <c r="H62" s="298">
        <v>20</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30</v>
      </c>
      <c r="C63" s="298" t="s">
        <v>250</v>
      </c>
      <c r="D63" s="353" t="s">
        <v>160</v>
      </c>
      <c r="E63" s="96">
        <v>0</v>
      </c>
      <c r="F63" s="96">
        <v>3</v>
      </c>
      <c r="G63" s="96">
        <v>960</v>
      </c>
      <c r="H63" s="298">
        <v>0</v>
      </c>
      <c r="I63" s="352">
        <f>1.8 * MIN(6, MAX(E63,F63)) + 0.45 * MIN(6, MIN(E63,F63)) + IF(E63&gt;6, (E63-6)*0.2) + IF(F63&gt;6, (F63-6)*0.2)</f>
        <v>5.4</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30</v>
      </c>
      <c r="C64" s="361" t="s">
        <v>250</v>
      </c>
      <c r="D64" s="359" t="s">
        <v>161</v>
      </c>
      <c r="E64" s="360">
        <v>3</v>
      </c>
      <c r="F64" s="360">
        <v>2</v>
      </c>
      <c r="G64" s="360">
        <v>875</v>
      </c>
      <c r="H64" s="361">
        <v>55</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162</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163</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164</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165</v>
      </c>
      <c r="E68" s="360">
        <v>6</v>
      </c>
      <c r="F68" s="360">
        <v>2</v>
      </c>
      <c r="G68" s="360">
        <v>1050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335</v>
      </c>
      <c r="B69" s="366" t="s">
        <v>30</v>
      </c>
      <c r="C69" s="358" t="s">
        <v>251</v>
      </c>
      <c r="D69" s="367" t="s">
        <v>336</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335</v>
      </c>
      <c r="B70" s="352" t="s">
        <v>30</v>
      </c>
      <c r="C70" s="298" t="s">
        <v>251</v>
      </c>
      <c r="D70" s="353" t="s">
        <v>337</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335</v>
      </c>
      <c r="B71" s="352" t="s">
        <v>30</v>
      </c>
      <c r="C71" s="298" t="s">
        <v>251</v>
      </c>
      <c r="D71" s="353" t="s">
        <v>338</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335</v>
      </c>
      <c r="B72" s="371" t="s">
        <v>30</v>
      </c>
      <c r="C72" s="361" t="s">
        <v>251</v>
      </c>
      <c r="D72" s="359" t="s">
        <v>339</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349</v>
      </c>
      <c r="B73" s="366" t="s">
        <v>98</v>
      </c>
      <c r="C73" s="358" t="s">
        <v>248</v>
      </c>
      <c r="D73" s="367" t="s">
        <v>343</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349</v>
      </c>
      <c r="B74" s="352" t="s">
        <v>98</v>
      </c>
      <c r="C74" s="298" t="s">
        <v>248</v>
      </c>
      <c r="D74" s="353" t="s">
        <v>344</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349</v>
      </c>
      <c r="B75" s="352" t="s">
        <v>98</v>
      </c>
      <c r="C75" s="298" t="s">
        <v>248</v>
      </c>
      <c r="D75" s="353" t="s">
        <v>345</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349</v>
      </c>
      <c r="B76" s="371" t="s">
        <v>98</v>
      </c>
      <c r="C76" s="361" t="s">
        <v>248</v>
      </c>
      <c r="D76" s="359" t="s">
        <v>346</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362</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331</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381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363</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507</v>
      </c>
      <c r="B81" s="366" t="s">
        <v>30</v>
      </c>
      <c r="C81" s="372" t="s">
        <v>60</v>
      </c>
      <c r="D81" s="358" t="s">
        <v>428</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v>
      </c>
      <c r="AA81" s="375"/>
    </row>
    <row r="82" spans="1:27" ht="19.5" customHeight="1" x14ac:dyDescent="0.2">
      <c r="A82" s="298" t="s">
        <v>507</v>
      </c>
      <c r="B82" s="352" t="s">
        <v>30</v>
      </c>
      <c r="C82" s="373" t="s">
        <v>60</v>
      </c>
      <c r="D82" s="298" t="s">
        <v>429</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507</v>
      </c>
      <c r="B83" s="352" t="s">
        <v>30</v>
      </c>
      <c r="C83" s="373" t="s">
        <v>60</v>
      </c>
      <c r="D83" s="298" t="s">
        <v>430</v>
      </c>
      <c r="E83" s="96">
        <v>0</v>
      </c>
      <c r="F83" s="96">
        <v>3</v>
      </c>
      <c r="G83" s="96">
        <v>975</v>
      </c>
      <c r="H83" s="298">
        <v>25</v>
      </c>
      <c r="I83" s="352">
        <f>1.8 * MIN(6, MAX(E83,F83)) + 0.45 * MIN(6, MIN(E83,F83)) + IF(E83&gt;6, (E83-6)*0.2) + IF(F83&gt;6, (F83-6)*0.2)</f>
        <v>5.4</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507</v>
      </c>
      <c r="B84" s="352" t="s">
        <v>30</v>
      </c>
      <c r="C84" s="373" t="s">
        <v>60</v>
      </c>
      <c r="D84" s="298" t="s">
        <v>431</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786</v>
      </c>
      <c r="B85" s="352" t="s">
        <v>786</v>
      </c>
      <c r="C85" s="373" t="s">
        <v>786</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786</v>
      </c>
      <c r="B86" s="352" t="s">
        <v>786</v>
      </c>
      <c r="C86" s="373" t="s">
        <v>786</v>
      </c>
      <c r="D86" s="502" t="s">
        <v>1121</v>
      </c>
      <c r="G86" s="96">
        <v>1000</v>
      </c>
      <c r="H86" s="96" t="s">
        <v>1122</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786</v>
      </c>
      <c r="B87" s="352" t="s">
        <v>786</v>
      </c>
      <c r="C87" s="373" t="s">
        <v>786</v>
      </c>
      <c r="D87" s="63" t="s">
        <v>187</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786</v>
      </c>
      <c r="B88" s="352" t="s">
        <v>786</v>
      </c>
      <c r="C88" s="373" t="s">
        <v>786</v>
      </c>
      <c r="D88" s="63" t="s">
        <v>188</v>
      </c>
      <c r="G88" s="96">
        <v>1000</v>
      </c>
      <c r="H88" s="96" t="s">
        <v>254</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366</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335</v>
      </c>
      <c r="B106" s="298">
        <v>69</v>
      </c>
      <c r="J106" s="379"/>
      <c r="K106" s="379"/>
      <c r="L106" s="379"/>
      <c r="M106" s="379"/>
      <c r="N106" s="379"/>
      <c r="O106" s="379"/>
      <c r="P106" s="379"/>
      <c r="Q106" s="379"/>
      <c r="R106" s="379"/>
      <c r="S106" s="379"/>
      <c r="T106" s="379"/>
      <c r="U106" s="379"/>
      <c r="V106" s="379"/>
    </row>
    <row r="107" spans="1:22" ht="19.5" customHeight="1" x14ac:dyDescent="0.2">
      <c r="A107" s="376" t="s">
        <v>349</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507</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498" t="s">
        <v>446</v>
      </c>
      <c r="I18" s="498"/>
      <c r="J18" s="498"/>
      <c r="K18" s="499"/>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2022-10-31T16:58:21Z</dcterms:modified>
</cp:coreProperties>
</file>