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9A3B5C3B-0E82-46A2-89AF-71F21538E07D}"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Constants!$C$131</definedName>
    <definedName name="abyss_enforcer_cap">Constants!$F$131</definedName>
    <definedName name="adept_dp_bonus">Constants!$C$125</definedName>
    <definedName name="adept_dp_cap">Constants!$F$125</definedName>
    <definedName name="adept_op_bonus">Constants!$C$124</definedName>
    <definedName name="adept_op_cap">Constants!$F$124</definedName>
    <definedName name="alch_frost_bonus">Constants!$F$91</definedName>
    <definedName name="alch_plat">Constants!$B$4</definedName>
    <definedName name="alchemist_flame_bonus">Constants!$F$87</definedName>
    <definedName name="alchemist_flame_invest">Constants!$F$88</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Constants!$B$97</definedName>
    <definedName name="bone_breaker_bonus">Constants!$C$129</definedName>
    <definedName name="bone_breaker_cap">Constants!$F$129</definedName>
    <definedName name="bonus_jobs_facts">Constants!$B$171</definedName>
    <definedName name="building_employment">Constants!$B$134</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Constants!$F$93</definedName>
    <definedName name="demonic_pact_plat">Constants!$F$92</definedName>
    <definedName name="dm_gems">Constants!$B$8</definedName>
    <definedName name="dock_boats_hr">Constants!$B$10</definedName>
    <definedName name="dock_food">Constants!$D$10</definedName>
    <definedName name="druid_dp_bonus">Constants!$C$121</definedName>
    <definedName name="druid_dp_cap">Constants!$F$121</definedName>
    <definedName name="druid_op_bonus">Constants!$C$120</definedName>
    <definedName name="druid_op_cap">Constants!$F$120</definedName>
    <definedName name="dryad_bonus">Constants!$C$122</definedName>
    <definedName name="dryad_cap">Constants!$F$122</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Constants!$D$90</definedName>
    <definedName name="favorable_terrain_max">Constants!$F$90</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Constants!$C$126</definedName>
    <definedName name="frost_mage_cap">Constants!$F$126</definedName>
    <definedName name="gaias_blessing_food">Constants!$F$84</definedName>
    <definedName name="gaias_blessing_lumber">Constants!$H$84</definedName>
    <definedName name="gaias_watch_bonus">Constants!$F$75</definedName>
    <definedName name="gem_invest">Constants!$B$165</definedName>
    <definedName name="global_constr_cap">Constants!$B$168</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Constants!$D$110</definedName>
    <definedName name="harbor_towers_param">Constants!$D$115</definedName>
    <definedName name="harmony_bonus">Constants!$F$78</definedName>
    <definedName name="home_land">Overview!$B$73</definedName>
    <definedName name="howling_dp_bonus">Constants!$H$85</definedName>
    <definedName name="howling_op_bonus">Constants!$F$85</definedName>
    <definedName name="ice_elem_bonus">Constants!$C$127</definedName>
    <definedName name="ice_elem_cap">Constants!$F$127</definedName>
    <definedName name="icekin">Military!$CO$10</definedName>
    <definedName name="Imps">Imps!$CE$35:$CE$40</definedName>
    <definedName name="infernal_cmd_op">Constants!$F$94</definedName>
    <definedName name="keep_cap">Constants!$D$107</definedName>
    <definedName name="keep_param">Constants!$D$112</definedName>
    <definedName name="kobold">Military!$CO$9</definedName>
    <definedName name="lumber_invest">Constants!$B$163</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Constants!$C$119</definedName>
    <definedName name="mystic_cap">Constants!$F$119</definedName>
    <definedName name="nightfall_bonus">Constants!$F$89</definedName>
    <definedName name="nightshade_bonus">Constants!$C$130</definedName>
    <definedName name="nox">Military!$CO$12</definedName>
    <definedName name="nox_nightshade_cap">Constants!$F$130</definedName>
    <definedName name="nox_nightshade_swamp_bonus">Constants!$C$130</definedName>
    <definedName name="om_ore">Constants!$B$7</definedName>
    <definedName name="orc">Military!$CO$11</definedName>
    <definedName name="ore_invest">Constants!$B$164</definedName>
    <definedName name="plat_invest">Constants!$B$162</definedName>
    <definedName name="pop_in_building">Constants!$B$68</definedName>
    <definedName name="pop_in_home">Constants!$B$65</definedName>
    <definedName name="pop_on_barren">Constants!$B$69</definedName>
    <definedName name="prestige_food_bonus">Constants!$B$101</definedName>
    <definedName name="prestige_multiplier">Constants!$B$102</definedName>
    <definedName name="prestige_offense_bonus">Constants!$B$103</definedName>
    <definedName name="prestige_pop_multiplier">Constants!$B$102</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Imps!$CE$30:$CE$33</definedName>
    <definedName name="rocka_bonus">Constants!$C$123</definedName>
    <definedName name="rocka_cap">Constants!$F$123</definedName>
    <definedName name="school_max">Constants!$D$23</definedName>
    <definedName name="school_rp">Constants!$B$23</definedName>
    <definedName name="science_cap">Constants!$D$108</definedName>
    <definedName name="science_param">Constants!$D$113</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Constants!$B$176</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Constants!$B$100</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Constants!$D$116</definedName>
    <definedName name="voodoo_magi_bonus">Constants!$C$128</definedName>
    <definedName name="voodoo_magi_cap">Constants!$F$128</definedName>
    <definedName name="walls_forges_cap">Constants!$D$109</definedName>
    <definedName name="walls_forges_param">Constants!$D$114</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Constants!$C$174</definedName>
    <definedName name="wisp_cap">Constants!$E$174</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B69" i="6" l="1"/>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Z4" i="5" s="1"/>
  <c r="A26" i="6"/>
  <c r="AY4" i="5" s="1"/>
  <c r="BQ4" i="5"/>
  <c r="BP4" i="5"/>
  <c r="L35" i="4"/>
  <c r="M35" i="4" s="1"/>
  <c r="M69" i="7" l="1"/>
  <c r="M68" i="7"/>
  <c r="M67" i="7"/>
  <c r="M66" i="7"/>
  <c r="M65" i="7"/>
  <c r="M64" i="7"/>
  <c r="M63" i="7"/>
  <c r="M62" i="7"/>
  <c r="M61" i="7"/>
  <c r="M60" i="7"/>
  <c r="M59" i="7"/>
  <c r="M58" i="7"/>
  <c r="M57" i="7"/>
  <c r="M56" i="7"/>
  <c r="M55" i="7"/>
  <c r="Z4" i="8"/>
  <c r="L57" i="7"/>
  <c r="L58" i="7" s="1"/>
  <c r="L59" i="7" s="1"/>
  <c r="L60" i="7" s="1"/>
  <c r="L61" i="7" s="1"/>
  <c r="L62" i="7" s="1"/>
  <c r="L63" i="7" s="1"/>
  <c r="L64" i="7" s="1"/>
  <c r="L65" i="7" s="1"/>
  <c r="L66" i="7" s="1"/>
  <c r="L67" i="7" s="1"/>
  <c r="L68" i="7" s="1"/>
  <c r="L69" i="7" s="1"/>
  <c r="L56" i="7"/>
  <c r="B97" i="6" l="1"/>
  <c r="E98" i="4"/>
  <c r="E89" i="4"/>
  <c r="CO13" i="8"/>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AQ10" i="9" l="1"/>
  <c r="CM10" i="8" s="1"/>
  <c r="J41" i="8"/>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U4" i="11"/>
  <c r="BT4" i="11"/>
  <c r="BS4" i="11"/>
  <c r="BR4" i="11"/>
  <c r="BP4" i="11"/>
  <c r="BN4" i="11"/>
  <c r="BI4"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4"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4"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U5" i="11"/>
  <c r="BU6" i="11"/>
  <c r="BU7" i="11"/>
  <c r="BU8" i="11"/>
  <c r="BU9" i="11"/>
  <c r="BU10" i="11"/>
  <c r="BU11" i="11"/>
  <c r="BU12" i="11"/>
  <c r="BU13" i="11"/>
  <c r="BU14" i="11"/>
  <c r="BU15" i="11"/>
  <c r="BU16" i="11"/>
  <c r="BU17" i="11"/>
  <c r="BU18" i="11"/>
  <c r="BU19" i="11"/>
  <c r="BU20" i="11"/>
  <c r="BU21" i="11"/>
  <c r="BU22" i="11"/>
  <c r="BU23" i="11"/>
  <c r="BU24" i="11"/>
  <c r="BU25" i="11"/>
  <c r="BU26" i="11"/>
  <c r="BU27" i="11"/>
  <c r="BU28" i="11"/>
  <c r="BU29" i="11"/>
  <c r="BU30" i="11"/>
  <c r="BU31" i="11"/>
  <c r="BU32" i="11"/>
  <c r="BU33" i="11"/>
  <c r="BU34" i="11"/>
  <c r="BU35" i="11"/>
  <c r="BU36" i="11"/>
  <c r="BU37" i="11"/>
  <c r="BU38" i="11"/>
  <c r="BU39" i="11"/>
  <c r="BU40" i="11"/>
  <c r="BU41" i="11"/>
  <c r="BU42" i="11"/>
  <c r="BU43" i="11"/>
  <c r="BU44" i="11"/>
  <c r="BU45" i="11"/>
  <c r="BU46" i="11"/>
  <c r="BU47" i="11"/>
  <c r="BU48" i="11"/>
  <c r="BU49" i="11"/>
  <c r="BU50" i="11"/>
  <c r="BU51" i="11"/>
  <c r="BU52" i="11"/>
  <c r="BU53" i="11"/>
  <c r="BU54" i="11"/>
  <c r="BU55" i="11"/>
  <c r="BU56" i="11"/>
  <c r="BU57" i="11"/>
  <c r="BU58" i="11"/>
  <c r="BU59" i="11"/>
  <c r="BU60" i="11"/>
  <c r="BU61" i="11"/>
  <c r="BU62" i="11"/>
  <c r="BU63" i="11"/>
  <c r="BU64" i="11"/>
  <c r="BU65" i="11"/>
  <c r="BU66" i="11"/>
  <c r="BU67" i="11"/>
  <c r="BU68" i="11"/>
  <c r="BU69" i="11"/>
  <c r="BU70" i="11"/>
  <c r="BU71" i="11"/>
  <c r="BU72" i="11"/>
  <c r="BU73" i="11"/>
  <c r="BU74" i="11"/>
  <c r="BU75" i="11"/>
  <c r="BU76" i="11"/>
  <c r="BU77" i="11"/>
  <c r="BU78" i="11"/>
  <c r="BU79" i="11"/>
  <c r="BU80" i="11"/>
  <c r="BU81" i="11"/>
  <c r="BU82" i="11"/>
  <c r="BU83" i="11"/>
  <c r="BU84" i="11"/>
  <c r="BU85" i="11"/>
  <c r="BU86" i="11"/>
  <c r="BU87" i="11"/>
  <c r="BU88" i="11"/>
  <c r="BU89" i="11"/>
  <c r="BU90" i="11"/>
  <c r="BU91" i="11"/>
  <c r="BU92" i="11"/>
  <c r="BU93" i="11"/>
  <c r="BU94" i="11"/>
  <c r="BU95" i="11"/>
  <c r="BU96" i="11"/>
  <c r="BU97" i="11"/>
  <c r="BU98" i="11"/>
  <c r="BU99" i="11"/>
  <c r="BU100" i="11"/>
  <c r="BU101" i="11"/>
  <c r="BU102" i="11"/>
  <c r="BU103" i="11"/>
  <c r="BU104" i="11"/>
  <c r="BU105" i="11"/>
  <c r="BU106" i="11"/>
  <c r="BU107" i="11"/>
  <c r="BU108" i="11"/>
  <c r="BU109" i="11"/>
  <c r="BU110" i="11"/>
  <c r="BU111" i="11"/>
  <c r="BU112" i="11"/>
  <c r="BU113" i="11"/>
  <c r="BU114" i="11"/>
  <c r="BU115" i="11"/>
  <c r="BU116" i="11"/>
  <c r="BU117" i="11"/>
  <c r="BU118" i="11"/>
  <c r="BU119" i="11"/>
  <c r="BU120" i="11"/>
  <c r="BU121" i="11"/>
  <c r="BU122" i="11"/>
  <c r="BU123" i="11"/>
  <c r="BU124" i="11"/>
  <c r="BU125" i="11"/>
  <c r="BU126" i="11"/>
  <c r="BU127" i="11"/>
  <c r="BU128" i="11"/>
  <c r="BU129" i="11"/>
  <c r="BU130" i="11"/>
  <c r="BU131" i="11"/>
  <c r="BU132" i="11"/>
  <c r="BU133" i="11"/>
  <c r="BU134" i="11"/>
  <c r="BU135" i="11"/>
  <c r="BU136" i="11"/>
  <c r="BP5" i="11"/>
  <c r="BP6" i="11"/>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CA4" i="11"/>
  <c r="Z7" i="9"/>
  <c r="BW4" i="11"/>
  <c r="BW5" i="11"/>
  <c r="BW6" i="11"/>
  <c r="BW7" i="11"/>
  <c r="BW8" i="11"/>
  <c r="BW9" i="11"/>
  <c r="BW10" i="11"/>
  <c r="BW11" i="11"/>
  <c r="BW12" i="11"/>
  <c r="BW13" i="11"/>
  <c r="BW14" i="11"/>
  <c r="BW15" i="11"/>
  <c r="BW16" i="11"/>
  <c r="BW17" i="11"/>
  <c r="BW18" i="11"/>
  <c r="BW19" i="11"/>
  <c r="BW20" i="11"/>
  <c r="BW21" i="11"/>
  <c r="BW22" i="11"/>
  <c r="BW23" i="11"/>
  <c r="BW24" i="11"/>
  <c r="BW25" i="11"/>
  <c r="BW26" i="11"/>
  <c r="BW27" i="11"/>
  <c r="BW28" i="11"/>
  <c r="BW29" i="11"/>
  <c r="BW30" i="11"/>
  <c r="BW31" i="11"/>
  <c r="BW32" i="11"/>
  <c r="BW33" i="11"/>
  <c r="BW34" i="11"/>
  <c r="BW35" i="11"/>
  <c r="BW36" i="11"/>
  <c r="BW37" i="11"/>
  <c r="BW38" i="11"/>
  <c r="BW39" i="11"/>
  <c r="BW40" i="11"/>
  <c r="BW41" i="11"/>
  <c r="BW42" i="11"/>
  <c r="BW43" i="11"/>
  <c r="BW44" i="11"/>
  <c r="BW45" i="11"/>
  <c r="BW46" i="11"/>
  <c r="BW47" i="11"/>
  <c r="BW48" i="11"/>
  <c r="BW49" i="11"/>
  <c r="BW50" i="11"/>
  <c r="BW51" i="11"/>
  <c r="BW52" i="11"/>
  <c r="BW53" i="11"/>
  <c r="BW54" i="11"/>
  <c r="BW55" i="11"/>
  <c r="BW56" i="11"/>
  <c r="BW57" i="11"/>
  <c r="BW58" i="11"/>
  <c r="BW59" i="11"/>
  <c r="BW60" i="11"/>
  <c r="BW61" i="11"/>
  <c r="BW62" i="11"/>
  <c r="BW63" i="11"/>
  <c r="BW64" i="11"/>
  <c r="BW65" i="11"/>
  <c r="BW66" i="11"/>
  <c r="BW67" i="11"/>
  <c r="BW68" i="11"/>
  <c r="BW69" i="11"/>
  <c r="BW70" i="11"/>
  <c r="BW71" i="11"/>
  <c r="BW72" i="11"/>
  <c r="BW73" i="11"/>
  <c r="BW74" i="11"/>
  <c r="BW75" i="11"/>
  <c r="BW76" i="11"/>
  <c r="BW77" i="11"/>
  <c r="BW78" i="11"/>
  <c r="BW79" i="11"/>
  <c r="BW80" i="11"/>
  <c r="BW81" i="11"/>
  <c r="BW82" i="11"/>
  <c r="BW83" i="11"/>
  <c r="BW84" i="11"/>
  <c r="BW85" i="11"/>
  <c r="BW86" i="11"/>
  <c r="BW87" i="11"/>
  <c r="BW88" i="11"/>
  <c r="BW89" i="11"/>
  <c r="BW90" i="11"/>
  <c r="BW91" i="11"/>
  <c r="BW92" i="11"/>
  <c r="BW93" i="11"/>
  <c r="BW94" i="11"/>
  <c r="BW95" i="11"/>
  <c r="BW96" i="11"/>
  <c r="BW97" i="11"/>
  <c r="BW98" i="11"/>
  <c r="BW99" i="11"/>
  <c r="BW100" i="11"/>
  <c r="BW101" i="11"/>
  <c r="BW102" i="11"/>
  <c r="BW103" i="11"/>
  <c r="BW104" i="11"/>
  <c r="BW105" i="11"/>
  <c r="BW106" i="11"/>
  <c r="BW107" i="11"/>
  <c r="BW108" i="11"/>
  <c r="BW109" i="11"/>
  <c r="BW110" i="11"/>
  <c r="BW111" i="11"/>
  <c r="BW112" i="11"/>
  <c r="BW113" i="11"/>
  <c r="BW114" i="11"/>
  <c r="BW115" i="11"/>
  <c r="BW116" i="11"/>
  <c r="BW117" i="11"/>
  <c r="BW118" i="11"/>
  <c r="BW119" i="11"/>
  <c r="BW120" i="11"/>
  <c r="BW121" i="11"/>
  <c r="BW122" i="11"/>
  <c r="BW123" i="11"/>
  <c r="BW124" i="11"/>
  <c r="BW125" i="11"/>
  <c r="BW126" i="11"/>
  <c r="BW127" i="11"/>
  <c r="BW128" i="11"/>
  <c r="BW129" i="11"/>
  <c r="BW130" i="11"/>
  <c r="BW131" i="11"/>
  <c r="BW132" i="11"/>
  <c r="BW133" i="11"/>
  <c r="BW134" i="11"/>
  <c r="BW135" i="11"/>
  <c r="BW136" i="11"/>
  <c r="AQ17" i="9" l="1"/>
  <c r="CM17" i="8" s="1"/>
  <c r="AI12" i="9"/>
  <c r="J4" i="2"/>
  <c r="AT2" i="8"/>
  <c r="CO25" i="8"/>
  <c r="CO26" i="8"/>
  <c r="CO24" i="8"/>
  <c r="CA5" i="11"/>
  <c r="CA6" i="11" s="1"/>
  <c r="CA7" i="11" s="1"/>
  <c r="CA8" i="11" s="1"/>
  <c r="CA9" i="11" s="1"/>
  <c r="CA10" i="11" s="1"/>
  <c r="CA11" i="11" s="1"/>
  <c r="CA12" i="11" s="1"/>
  <c r="CA13" i="11" s="1"/>
  <c r="CA14" i="11" s="1"/>
  <c r="CA15" i="11" s="1"/>
  <c r="CA16" i="11" s="1"/>
  <c r="CA17" i="11" s="1"/>
  <c r="CA18" i="11" s="1"/>
  <c r="CA19" i="11" s="1"/>
  <c r="CA20" i="11" s="1"/>
  <c r="CA21" i="11" s="1"/>
  <c r="CA22" i="11" s="1"/>
  <c r="CA23" i="11" s="1"/>
  <c r="CA24" i="11" s="1"/>
  <c r="CA25" i="11" s="1"/>
  <c r="CA26" i="11" s="1"/>
  <c r="CA27" i="11" s="1"/>
  <c r="CA28" i="11" s="1"/>
  <c r="CA29" i="11" s="1"/>
  <c r="CA30" i="11" s="1"/>
  <c r="CA31" i="11" s="1"/>
  <c r="CA32" i="11" s="1"/>
  <c r="CA33" i="11" s="1"/>
  <c r="CA34" i="11" s="1"/>
  <c r="CA35" i="11" s="1"/>
  <c r="CA36" i="11" s="1"/>
  <c r="CA37" i="11" s="1"/>
  <c r="CA38" i="11" s="1"/>
  <c r="CA39" i="11" s="1"/>
  <c r="CA40" i="11" s="1"/>
  <c r="CA41" i="11" s="1"/>
  <c r="CA42" i="11" s="1"/>
  <c r="CA43" i="11" s="1"/>
  <c r="CA44" i="11" s="1"/>
  <c r="CA45" i="11" s="1"/>
  <c r="CA46" i="11" s="1"/>
  <c r="CA47" i="11" s="1"/>
  <c r="CA48" i="11" s="1"/>
  <c r="CA49" i="11" s="1"/>
  <c r="CA50" i="11" s="1"/>
  <c r="CA51" i="11" s="1"/>
  <c r="CA52" i="11" s="1"/>
  <c r="CA53" i="11" s="1"/>
  <c r="CA54" i="11" s="1"/>
  <c r="CA55" i="11" s="1"/>
  <c r="CA56" i="11" s="1"/>
  <c r="CA57" i="11" s="1"/>
  <c r="CA58" i="11" s="1"/>
  <c r="CA59" i="11" s="1"/>
  <c r="CA60" i="11" s="1"/>
  <c r="CA61" i="11" s="1"/>
  <c r="CA62" i="11" s="1"/>
  <c r="CA63" i="11" s="1"/>
  <c r="CA64" i="11" s="1"/>
  <c r="CA65" i="11" s="1"/>
  <c r="CA66" i="11" s="1"/>
  <c r="CA67" i="11" s="1"/>
  <c r="CA68" i="11" s="1"/>
  <c r="CA69" i="11" s="1"/>
  <c r="CA70" i="11" s="1"/>
  <c r="CA71" i="11" s="1"/>
  <c r="CA72" i="11" s="1"/>
  <c r="CA73" i="11" s="1"/>
  <c r="CA74" i="11" s="1"/>
  <c r="CA75" i="11" s="1"/>
  <c r="CA76" i="11" s="1"/>
  <c r="CA77" i="11" s="1"/>
  <c r="CA78" i="11" s="1"/>
  <c r="CA79" i="11" s="1"/>
  <c r="CA80" i="11" s="1"/>
  <c r="CA81" i="11" s="1"/>
  <c r="CA82" i="11" s="1"/>
  <c r="CA83" i="11" s="1"/>
  <c r="CA84" i="11" s="1"/>
  <c r="CA85" i="11" s="1"/>
  <c r="CA86" i="11" s="1"/>
  <c r="CA87" i="11" s="1"/>
  <c r="CA88" i="11" s="1"/>
  <c r="CA89" i="11" s="1"/>
  <c r="CA90" i="11" s="1"/>
  <c r="CA91" i="11" s="1"/>
  <c r="CA92" i="11" s="1"/>
  <c r="CA93" i="11" s="1"/>
  <c r="CA94" i="11" s="1"/>
  <c r="CA95" i="11" s="1"/>
  <c r="CA96" i="11" s="1"/>
  <c r="CA97" i="11" s="1"/>
  <c r="CA98" i="11" s="1"/>
  <c r="CA99" i="11" s="1"/>
  <c r="CA100" i="11" s="1"/>
  <c r="CA101" i="11" s="1"/>
  <c r="CA102" i="11" s="1"/>
  <c r="CA103" i="11" s="1"/>
  <c r="CA104" i="11" s="1"/>
  <c r="CA105" i="11" s="1"/>
  <c r="CA106" i="11" s="1"/>
  <c r="CA107" i="11" s="1"/>
  <c r="CA108" i="11" s="1"/>
  <c r="CA109" i="11" s="1"/>
  <c r="CA110" i="11" s="1"/>
  <c r="CA111" i="11" s="1"/>
  <c r="CA112" i="11" s="1"/>
  <c r="CA113" i="11" s="1"/>
  <c r="CA114" i="11" s="1"/>
  <c r="CA115" i="11" s="1"/>
  <c r="CA116" i="11" s="1"/>
  <c r="CA117" i="11" s="1"/>
  <c r="CA118" i="11" s="1"/>
  <c r="CA119" i="11" s="1"/>
  <c r="CA120" i="11" s="1"/>
  <c r="CA121" i="11" s="1"/>
  <c r="CA122" i="11" s="1"/>
  <c r="CA123" i="11" s="1"/>
  <c r="CA124" i="11" s="1"/>
  <c r="CA125" i="11" s="1"/>
  <c r="CA126" i="11" s="1"/>
  <c r="CA127" i="11" s="1"/>
  <c r="CA128" i="11" s="1"/>
  <c r="CA129" i="11" s="1"/>
  <c r="CA130" i="11" s="1"/>
  <c r="CA131" i="11" s="1"/>
  <c r="CA132" i="11" s="1"/>
  <c r="CA133" i="11" s="1"/>
  <c r="CA134" i="11" s="1"/>
  <c r="CA135" i="11" s="1"/>
  <c r="CA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N5" i="9" l="1"/>
  <c r="BK5" i="11"/>
  <c r="AN6" i="9"/>
  <c r="BK6" i="11"/>
  <c r="AQ21" i="9"/>
  <c r="CM21" i="8" s="1"/>
  <c r="AI16" i="9"/>
  <c r="AH6" i="9"/>
  <c r="AG6" i="9"/>
  <c r="AK6" i="9"/>
  <c r="AE6" i="9"/>
  <c r="AM6" i="9"/>
  <c r="AN7" i="9" l="1"/>
  <c r="BK7" i="11"/>
  <c r="AQ22" i="9"/>
  <c r="CM22" i="8" s="1"/>
  <c r="AI17" i="9"/>
  <c r="AM7" i="9"/>
  <c r="AH7" i="9"/>
  <c r="AG7" i="9"/>
  <c r="AK7" i="9"/>
  <c r="AE7" i="9"/>
  <c r="AN8" i="9" l="1"/>
  <c r="BK8" i="11"/>
  <c r="AQ23" i="9"/>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N9" i="9" l="1"/>
  <c r="BK9" i="11"/>
  <c r="AQ24" i="9"/>
  <c r="CM24" i="8" s="1"/>
  <c r="AI19" i="9"/>
  <c r="AO19" i="8" s="1"/>
  <c r="AM9" i="9"/>
  <c r="O6" i="1"/>
  <c r="AH9" i="9"/>
  <c r="AG9" i="9"/>
  <c r="AK9" i="9"/>
  <c r="AE9" i="9"/>
  <c r="AB4" i="1"/>
  <c r="AN10" i="9" l="1"/>
  <c r="BK10" i="11"/>
  <c r="AQ25" i="9"/>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AN11" i="9" l="1"/>
  <c r="BK11" i="11"/>
  <c r="AQ26" i="9"/>
  <c r="CM26" i="8" s="1"/>
  <c r="H41" i="8"/>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Z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9" i="6" s="1"/>
  <c r="C90" i="6" s="1"/>
  <c r="C91" i="6" s="1"/>
  <c r="C92"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X6" i="11" s="1"/>
  <c r="M7" i="11"/>
  <c r="BX7" i="11" s="1"/>
  <c r="M8" i="11"/>
  <c r="BX8" i="11" s="1"/>
  <c r="M9" i="11"/>
  <c r="BX9" i="11" s="1"/>
  <c r="M10" i="11"/>
  <c r="BX10" i="11" s="1"/>
  <c r="M11" i="11"/>
  <c r="BX11" i="11" s="1"/>
  <c r="M12" i="11"/>
  <c r="BX12" i="11" s="1"/>
  <c r="M13" i="11"/>
  <c r="BX13" i="11" s="1"/>
  <c r="M14" i="11"/>
  <c r="BX14" i="11" s="1"/>
  <c r="M15" i="11"/>
  <c r="BX15" i="11" s="1"/>
  <c r="M16" i="11"/>
  <c r="BX16" i="11" s="1"/>
  <c r="M17" i="11"/>
  <c r="BX17" i="11" s="1"/>
  <c r="M18" i="11"/>
  <c r="BX18" i="11" s="1"/>
  <c r="M19" i="11"/>
  <c r="BX19" i="11" s="1"/>
  <c r="M20" i="11"/>
  <c r="BX20" i="11" s="1"/>
  <c r="M21" i="11"/>
  <c r="BX21" i="11" s="1"/>
  <c r="M22" i="11"/>
  <c r="BX22" i="11" s="1"/>
  <c r="M23" i="11"/>
  <c r="BX23" i="11" s="1"/>
  <c r="M24" i="11"/>
  <c r="BX24" i="11" s="1"/>
  <c r="M25" i="11"/>
  <c r="BX25" i="11" s="1"/>
  <c r="M26" i="11"/>
  <c r="BX26" i="11" s="1"/>
  <c r="M27" i="11"/>
  <c r="BX27" i="11" s="1"/>
  <c r="M28" i="11"/>
  <c r="BX28" i="11" s="1"/>
  <c r="M29" i="11"/>
  <c r="BX29" i="11" s="1"/>
  <c r="M30" i="11"/>
  <c r="BX30" i="11" s="1"/>
  <c r="M31" i="11"/>
  <c r="BX31" i="11" s="1"/>
  <c r="M32" i="11"/>
  <c r="BX32" i="11" s="1"/>
  <c r="M33" i="11"/>
  <c r="BX33" i="11" s="1"/>
  <c r="M34" i="11"/>
  <c r="BX34" i="11" s="1"/>
  <c r="M35" i="11"/>
  <c r="BX35" i="11" s="1"/>
  <c r="M36" i="11"/>
  <c r="BX36" i="11" s="1"/>
  <c r="M37" i="11"/>
  <c r="BX37" i="11" s="1"/>
  <c r="M38" i="11"/>
  <c r="BX38" i="11" s="1"/>
  <c r="M39" i="11"/>
  <c r="BX39" i="11" s="1"/>
  <c r="M40" i="11"/>
  <c r="BX40" i="11" s="1"/>
  <c r="M41" i="11"/>
  <c r="BX41" i="11" s="1"/>
  <c r="M42" i="11"/>
  <c r="BX42" i="11" s="1"/>
  <c r="M43" i="11"/>
  <c r="BX43" i="11" s="1"/>
  <c r="M44" i="11"/>
  <c r="BX44" i="11" s="1"/>
  <c r="M45" i="11"/>
  <c r="BX45" i="11" s="1"/>
  <c r="M46" i="11"/>
  <c r="BX46" i="11" s="1"/>
  <c r="M47" i="11"/>
  <c r="BX47" i="11" s="1"/>
  <c r="M48" i="11"/>
  <c r="BX48" i="11" s="1"/>
  <c r="M49" i="11"/>
  <c r="BX49" i="11" s="1"/>
  <c r="M50" i="11"/>
  <c r="BX50" i="11" s="1"/>
  <c r="M51" i="11"/>
  <c r="BX51" i="11" s="1"/>
  <c r="M52" i="11"/>
  <c r="BX52" i="11" s="1"/>
  <c r="M53" i="11"/>
  <c r="BX53" i="11" s="1"/>
  <c r="M54" i="11"/>
  <c r="BX54" i="11" s="1"/>
  <c r="M55" i="11"/>
  <c r="BX55" i="11" s="1"/>
  <c r="M56" i="11"/>
  <c r="BX56" i="11" s="1"/>
  <c r="M57" i="11"/>
  <c r="BX57" i="11" s="1"/>
  <c r="M58" i="11"/>
  <c r="BX58" i="11" s="1"/>
  <c r="M59" i="11"/>
  <c r="BX59" i="11" s="1"/>
  <c r="M60" i="11"/>
  <c r="BX60" i="11" s="1"/>
  <c r="M61" i="11"/>
  <c r="BX61" i="11" s="1"/>
  <c r="M62" i="11"/>
  <c r="BX62" i="11" s="1"/>
  <c r="M63" i="11"/>
  <c r="BX63" i="11" s="1"/>
  <c r="M64" i="11"/>
  <c r="BX64" i="11" s="1"/>
  <c r="M65" i="11"/>
  <c r="BX65" i="11" s="1"/>
  <c r="M66" i="11"/>
  <c r="BX66" i="11" s="1"/>
  <c r="M67" i="11"/>
  <c r="BX67" i="11" s="1"/>
  <c r="M68" i="11"/>
  <c r="BX68" i="11" s="1"/>
  <c r="M69" i="11"/>
  <c r="BX69" i="11" s="1"/>
  <c r="M70" i="11"/>
  <c r="BX70" i="11" s="1"/>
  <c r="M71" i="11"/>
  <c r="BX71" i="11" s="1"/>
  <c r="M72" i="11"/>
  <c r="BX72" i="11" s="1"/>
  <c r="M73" i="11"/>
  <c r="BX73" i="11" s="1"/>
  <c r="M74" i="11"/>
  <c r="BX74" i="11" s="1"/>
  <c r="M75" i="11"/>
  <c r="BX75" i="11" s="1"/>
  <c r="M76" i="11"/>
  <c r="BX76" i="11" s="1"/>
  <c r="M77" i="11"/>
  <c r="BX77" i="11" s="1"/>
  <c r="M78" i="11"/>
  <c r="BX78" i="11" s="1"/>
  <c r="M79" i="11"/>
  <c r="BX79" i="11" s="1"/>
  <c r="M80" i="11"/>
  <c r="BX80" i="11" s="1"/>
  <c r="M81" i="11"/>
  <c r="BX81" i="11" s="1"/>
  <c r="M82" i="11"/>
  <c r="BX82" i="11" s="1"/>
  <c r="M83" i="11"/>
  <c r="BX83" i="11" s="1"/>
  <c r="M84" i="11"/>
  <c r="BX84" i="11" s="1"/>
  <c r="M85" i="11"/>
  <c r="BX85" i="11" s="1"/>
  <c r="M86" i="11"/>
  <c r="BX86" i="11" s="1"/>
  <c r="M87" i="11"/>
  <c r="BX87" i="11" s="1"/>
  <c r="M88" i="11"/>
  <c r="BX88" i="11" s="1"/>
  <c r="M89" i="11"/>
  <c r="BX89" i="11" s="1"/>
  <c r="M90" i="11"/>
  <c r="BX90" i="11" s="1"/>
  <c r="M91" i="11"/>
  <c r="BX91" i="11" s="1"/>
  <c r="M92" i="11"/>
  <c r="BX92" i="11" s="1"/>
  <c r="M93" i="11"/>
  <c r="BX93" i="11" s="1"/>
  <c r="M94" i="11"/>
  <c r="BX94" i="11" s="1"/>
  <c r="M95" i="11"/>
  <c r="BX95" i="11" s="1"/>
  <c r="M96" i="11"/>
  <c r="BX96" i="11" s="1"/>
  <c r="M97" i="11"/>
  <c r="BX97" i="11" s="1"/>
  <c r="M98" i="11"/>
  <c r="BX98" i="11" s="1"/>
  <c r="M99" i="11"/>
  <c r="BX99" i="11" s="1"/>
  <c r="M100" i="11"/>
  <c r="BX100" i="11" s="1"/>
  <c r="M101" i="11"/>
  <c r="BX101" i="11" s="1"/>
  <c r="M102" i="11"/>
  <c r="BX102" i="11" s="1"/>
  <c r="M103" i="11"/>
  <c r="BX103" i="11" s="1"/>
  <c r="M104" i="11"/>
  <c r="BX104" i="11" s="1"/>
  <c r="M105" i="11"/>
  <c r="BX105" i="11" s="1"/>
  <c r="M106" i="11"/>
  <c r="BX106" i="11" s="1"/>
  <c r="M107" i="11"/>
  <c r="BX107" i="11" s="1"/>
  <c r="M108" i="11"/>
  <c r="BX108" i="11" s="1"/>
  <c r="M109" i="11"/>
  <c r="BX109" i="11" s="1"/>
  <c r="M110" i="11"/>
  <c r="BX110" i="11" s="1"/>
  <c r="M111" i="11"/>
  <c r="BX111" i="11" s="1"/>
  <c r="M112" i="11"/>
  <c r="BX112" i="11" s="1"/>
  <c r="M113" i="11"/>
  <c r="BX113" i="11" s="1"/>
  <c r="M114" i="11"/>
  <c r="BX114" i="11" s="1"/>
  <c r="M115" i="11"/>
  <c r="BX115" i="11" s="1"/>
  <c r="M116" i="11"/>
  <c r="BX116" i="11" s="1"/>
  <c r="M117" i="11"/>
  <c r="BX117" i="11" s="1"/>
  <c r="M118" i="11"/>
  <c r="BX118" i="11" s="1"/>
  <c r="M119" i="11"/>
  <c r="BX119" i="11" s="1"/>
  <c r="M120" i="11"/>
  <c r="BX120" i="11" s="1"/>
  <c r="M121" i="11"/>
  <c r="BX121" i="11" s="1"/>
  <c r="M122" i="11"/>
  <c r="BX122" i="11" s="1"/>
  <c r="M123" i="11"/>
  <c r="BX123" i="11" s="1"/>
  <c r="M124" i="11"/>
  <c r="BX124" i="11" s="1"/>
  <c r="M125" i="11"/>
  <c r="BX125" i="11" s="1"/>
  <c r="M126" i="11"/>
  <c r="BX126" i="11" s="1"/>
  <c r="M127" i="11"/>
  <c r="BX127" i="11" s="1"/>
  <c r="M128" i="11"/>
  <c r="BX128" i="11" s="1"/>
  <c r="M129" i="11"/>
  <c r="BX129" i="11" s="1"/>
  <c r="M130" i="11"/>
  <c r="BX130" i="11" s="1"/>
  <c r="M131" i="11"/>
  <c r="BX131" i="11" s="1"/>
  <c r="M132" i="11"/>
  <c r="BX132" i="11" s="1"/>
  <c r="M133" i="11"/>
  <c r="BX133" i="11" s="1"/>
  <c r="M134" i="11"/>
  <c r="BX134" i="11" s="1"/>
  <c r="M135" i="11"/>
  <c r="BX135" i="11" s="1"/>
  <c r="M136" i="11"/>
  <c r="BX136" i="11" s="1"/>
  <c r="E16" i="4"/>
  <c r="B17" i="4"/>
  <c r="D51" i="4"/>
  <c r="D52" i="4"/>
  <c r="D53" i="4"/>
  <c r="D54" i="4"/>
  <c r="D55" i="4"/>
  <c r="D56" i="4"/>
  <c r="D57" i="4"/>
  <c r="D58" i="4"/>
  <c r="D59" i="4"/>
  <c r="D60" i="4"/>
  <c r="D61" i="4"/>
  <c r="D62" i="4"/>
  <c r="D63" i="4"/>
  <c r="D64" i="4"/>
  <c r="D65" i="4"/>
  <c r="D66" i="4"/>
  <c r="D67" i="4"/>
  <c r="D68" i="4"/>
  <c r="B70" i="4"/>
  <c r="D69" i="4"/>
  <c r="B72" i="4"/>
  <c r="B73" i="4"/>
  <c r="CQ16" i="5" s="1"/>
  <c r="E79" i="4"/>
  <c r="E81" i="4"/>
  <c r="E82" i="4"/>
  <c r="E83" i="4"/>
  <c r="E84" i="4"/>
  <c r="E86" i="4"/>
  <c r="E88" i="4"/>
  <c r="E92" i="4"/>
  <c r="F24" i="4"/>
  <c r="F25" i="4"/>
  <c r="J5" i="10"/>
  <c r="N5" i="5" s="1"/>
  <c r="C1270" i="1"/>
  <c r="B1270" i="11"/>
  <c r="C1270" i="2"/>
  <c r="A1270" i="10"/>
  <c r="B1270" i="7"/>
  <c r="A1270" i="5"/>
  <c r="B1270" i="8"/>
  <c r="P5" i="2"/>
  <c r="AN12" i="9" l="1"/>
  <c r="BK12" i="11"/>
  <c r="AQ27" i="9"/>
  <c r="CM27" i="8" s="1"/>
  <c r="BX5" i="1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X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Z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N13" i="9" l="1"/>
  <c r="BK13" i="11"/>
  <c r="AQ28" i="9"/>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Z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N14" i="9" l="1"/>
  <c r="BK14" i="11"/>
  <c r="AQ29" i="9"/>
  <c r="CM29" i="8" s="1"/>
  <c r="A7" i="7"/>
  <c r="R7" i="7" s="1"/>
  <c r="A7" i="8"/>
  <c r="A7" i="2"/>
  <c r="A7" i="9"/>
  <c r="A7" i="5"/>
  <c r="A7" i="14"/>
  <c r="CA7" i="14"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Z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N15" i="9" l="1"/>
  <c r="BK15" i="11"/>
  <c r="AQ30" i="9"/>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Z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N16" i="9" l="1"/>
  <c r="BK16" i="11"/>
  <c r="AQ31" i="9"/>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Z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N17" i="9" l="1"/>
  <c r="BK17" i="11"/>
  <c r="AG4" i="7"/>
  <c r="AI4" i="7" s="1"/>
  <c r="AA4" i="8" s="1"/>
  <c r="AQ32" i="9"/>
  <c r="CM32" i="8" s="1"/>
  <c r="AO5" i="5"/>
  <c r="AM5" i="5"/>
  <c r="AN5" i="5"/>
  <c r="AR5" i="5" s="1"/>
  <c r="AV6" i="5"/>
  <c r="AW6" i="5"/>
  <c r="AG5"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Z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N18" i="9" l="1"/>
  <c r="BK18" i="11"/>
  <c r="AQ33" i="9"/>
  <c r="CM33" i="8" s="1"/>
  <c r="AO6" i="5"/>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Z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N19" i="9" l="1"/>
  <c r="BK19" i="11"/>
  <c r="AQ34" i="9"/>
  <c r="CM34" i="8" s="1"/>
  <c r="AO7" i="5"/>
  <c r="AM7" i="5"/>
  <c r="AN7" i="5"/>
  <c r="AV8" i="5"/>
  <c r="AW8" i="5"/>
  <c r="BF11" i="5" a="1"/>
  <c r="BF11" i="5" s="1"/>
  <c r="AE10" i="1" s="1"/>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Z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N20" i="9" l="1"/>
  <c r="BK20" i="11"/>
  <c r="AQ35" i="9"/>
  <c r="CM35" i="8" s="1"/>
  <c r="AO8" i="5"/>
  <c r="AM8" i="5"/>
  <c r="AN8" i="5"/>
  <c r="AR8" i="5" s="1"/>
  <c r="AV9" i="5"/>
  <c r="AW9" i="5"/>
  <c r="BF12" i="5" a="1"/>
  <c r="BF12" i="5" s="1"/>
  <c r="AE11" i="1" s="1"/>
  <c r="J11" i="2"/>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Z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CK9" i="8"/>
  <c r="CG14" i="8"/>
  <c r="BW9" i="8"/>
  <c r="AC9" i="1" s="1"/>
  <c r="BX8" i="8"/>
  <c r="CE8" i="8" s="1"/>
  <c r="N8" i="7"/>
  <c r="BH9" i="8"/>
  <c r="BU9" i="8" s="1"/>
  <c r="BI9" i="8"/>
  <c r="AH20" i="9"/>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N21" i="9" l="1"/>
  <c r="BK21" i="11"/>
  <c r="AQ36" i="9"/>
  <c r="CM36" i="8" s="1"/>
  <c r="K41" i="8"/>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AO9" i="5"/>
  <c r="AM9" i="5"/>
  <c r="AN9" i="5"/>
  <c r="J12" i="2"/>
  <c r="BF13" i="5" a="1"/>
  <c r="BF13" i="5" s="1"/>
  <c r="AE12" i="1" s="1"/>
  <c r="AV10" i="5"/>
  <c r="AW10" i="5"/>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Z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N22" i="9" l="1"/>
  <c r="BK22" i="11"/>
  <c r="AQ37" i="9"/>
  <c r="CM37" i="8" s="1"/>
  <c r="AO10" i="5"/>
  <c r="AM10" i="5"/>
  <c r="AN10" i="5"/>
  <c r="AR10" i="5" s="1"/>
  <c r="J13" i="2"/>
  <c r="BF14" i="5" a="1"/>
  <c r="BF14" i="5" s="1"/>
  <c r="AE13" i="1" s="1"/>
  <c r="AV11" i="5"/>
  <c r="AW11" i="5"/>
  <c r="E17" i="8"/>
  <c r="AG9" i="7"/>
  <c r="AI9" i="7" s="1"/>
  <c r="CL11" i="8"/>
  <c r="P9" i="8"/>
  <c r="CB10" i="8"/>
  <c r="CT10" i="8" s="1"/>
  <c r="AC10" i="1"/>
  <c r="AI32" i="9"/>
  <c r="AO32" i="8" s="1"/>
  <c r="G16" i="8"/>
  <c r="CF15" i="8"/>
  <c r="O15" i="2"/>
  <c r="AZ15" i="5" a="1"/>
  <c r="AZ15" i="5" s="1"/>
  <c r="BI15" i="5" a="1"/>
  <c r="BI15" i="5" s="1"/>
  <c r="BC15" i="5" a="1"/>
  <c r="BC15" i="5" s="1"/>
  <c r="AM22" i="9"/>
  <c r="BR10" i="8"/>
  <c r="BS10" i="8"/>
  <c r="AD13" i="1"/>
  <c r="BM15" i="5" a="1"/>
  <c r="BM15" i="5" s="1"/>
  <c r="BM16" i="5" s="1" a="1"/>
  <c r="BM16" i="5" s="1"/>
  <c r="BJ15" i="5" a="1"/>
  <c r="BJ15" i="5" s="1"/>
  <c r="BJ16" i="5" s="1" a="1"/>
  <c r="BJ16"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D16" i="5" s="1" a="1"/>
  <c r="BD16" i="5" s="1"/>
  <c r="BA15" i="5" a="1"/>
  <c r="BA15" i="5" s="1"/>
  <c r="BA16" i="5" s="1" a="1"/>
  <c r="BA16" i="5" s="1"/>
  <c r="BG15" i="5" a="1"/>
  <c r="BG15" i="5" s="1"/>
  <c r="BE15" i="5" a="1"/>
  <c r="BE15" i="5" s="1"/>
  <c r="BK15" i="5" a="1"/>
  <c r="BK15"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Z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N23" i="9" l="1"/>
  <c r="BK23" i="11"/>
  <c r="AQ38" i="9"/>
  <c r="CM38" i="8" s="1"/>
  <c r="BH16" i="5" a="1"/>
  <c r="BH16" i="5" s="1"/>
  <c r="BK16" i="5" a="1"/>
  <c r="BK16" i="5" s="1"/>
  <c r="BB16" i="5" a="1"/>
  <c r="BB16" i="5" s="1"/>
  <c r="BE16" i="5" a="1"/>
  <c r="BE16" i="5" s="1"/>
  <c r="BO16" i="5" a="1"/>
  <c r="BO16" i="5" s="1"/>
  <c r="BG16" i="5" a="1"/>
  <c r="BG16" i="5" s="1"/>
  <c r="BN16" i="5" a="1"/>
  <c r="BN16" i="5" s="1"/>
  <c r="BQ16" i="5" a="1"/>
  <c r="BQ16" i="5" s="1"/>
  <c r="BC16" i="5" a="1"/>
  <c r="BC16" i="5" s="1"/>
  <c r="BI16" i="5" a="1"/>
  <c r="BI16" i="5" s="1"/>
  <c r="AZ16" i="5" a="1"/>
  <c r="AZ16" i="5" s="1"/>
  <c r="BL16" i="5" a="1"/>
  <c r="BL16" i="5" s="1"/>
  <c r="AY16" i="5" a="1"/>
  <c r="AY16" i="5" s="1"/>
  <c r="AO11" i="5"/>
  <c r="AM11" i="5"/>
  <c r="AN11" i="5"/>
  <c r="AR11" i="5" s="1"/>
  <c r="J14" i="2"/>
  <c r="BF15" i="5" a="1"/>
  <c r="BF15" i="5" s="1"/>
  <c r="BF16" i="5" s="1" a="1"/>
  <c r="BF16" i="5" s="1"/>
  <c r="AE15" i="1" s="1"/>
  <c r="AV12" i="5"/>
  <c r="AW12" i="5"/>
  <c r="E18" i="8"/>
  <c r="AG11" i="7"/>
  <c r="AG10" i="7"/>
  <c r="AI10" i="7" s="1"/>
  <c r="CL12" i="8"/>
  <c r="BY11" i="8"/>
  <c r="CQ11" i="8" s="1"/>
  <c r="CU11" i="8" s="1"/>
  <c r="AC11" i="1"/>
  <c r="AI33" i="9"/>
  <c r="AO33" i="8" s="1"/>
  <c r="G17" i="8"/>
  <c r="CF16" i="8"/>
  <c r="O16" i="2"/>
  <c r="AM23" i="9"/>
  <c r="BR11" i="8"/>
  <c r="BS11" i="8"/>
  <c r="AD14" i="1"/>
  <c r="CV16" i="5"/>
  <c r="CT16" i="5"/>
  <c r="CS16" i="5"/>
  <c r="CR16" i="5"/>
  <c r="CU16" i="5"/>
  <c r="CW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Z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N24" i="9" l="1"/>
  <c r="BK24" i="11"/>
  <c r="AS16" i="5"/>
  <c r="AQ39" i="9"/>
  <c r="CM39" i="8" s="1"/>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Z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N25" i="9" l="1"/>
  <c r="BK25" i="11"/>
  <c r="AQ40" i="9"/>
  <c r="CM40" i="8" s="1"/>
  <c r="AO13" i="5"/>
  <c r="AM13" i="5"/>
  <c r="AN13" i="5"/>
  <c r="AR13" i="5" s="1"/>
  <c r="AV14" i="5"/>
  <c r="AW14" i="5"/>
  <c r="E20" i="8"/>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B16" i="5"/>
  <c r="B16" i="2"/>
  <c r="AH16" i="5"/>
  <c r="BU16" i="5"/>
  <c r="B16" i="1"/>
  <c r="BG16" i="1" s="1"/>
  <c r="DB16" i="5"/>
  <c r="BZ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N26" i="9" l="1"/>
  <c r="BK26" i="11"/>
  <c r="AQ41" i="9"/>
  <c r="CM41" i="8" s="1"/>
  <c r="AO14" i="5"/>
  <c r="AM14" i="5"/>
  <c r="AN14" i="5"/>
  <c r="AV15" i="5"/>
  <c r="AW15" i="5"/>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Z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N27" i="9" l="1"/>
  <c r="BK27" i="11"/>
  <c r="AQ42" i="9"/>
  <c r="CM42" i="8" s="1"/>
  <c r="AO15" i="5"/>
  <c r="AM15" i="5"/>
  <c r="AN15" i="5"/>
  <c r="AR15" i="5" s="1"/>
  <c r="AV16" i="5"/>
  <c r="AW16" i="5"/>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Z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N28" i="9" l="1"/>
  <c r="BK28" i="11"/>
  <c r="AQ43" i="9"/>
  <c r="CM43" i="8" s="1"/>
  <c r="AO16" i="5"/>
  <c r="AM16" i="5"/>
  <c r="AN16" i="5"/>
  <c r="AV17" i="5"/>
  <c r="AW17" i="5"/>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Z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AN29" i="9" l="1"/>
  <c r="BK29" i="11"/>
  <c r="AQ44" i="9"/>
  <c r="CM44" i="8" s="1"/>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Z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N30" i="9" l="1"/>
  <c r="BK30" i="11"/>
  <c r="AQ45" i="9"/>
  <c r="CM45" i="8" s="1"/>
  <c r="AO18" i="5"/>
  <c r="AM18" i="5"/>
  <c r="AN18" i="5"/>
  <c r="AR18" i="5" s="1"/>
  <c r="AV19" i="5"/>
  <c r="AW19" i="5"/>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Z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N31" i="9" l="1"/>
  <c r="BK31" i="11"/>
  <c r="AQ46" i="9"/>
  <c r="CM46" i="8" s="1"/>
  <c r="AO19" i="5"/>
  <c r="AM19" i="5"/>
  <c r="AN19" i="5"/>
  <c r="AV20" i="5"/>
  <c r="AW20" i="5"/>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Z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N32" i="9" l="1"/>
  <c r="BK32" i="11"/>
  <c r="AQ47" i="9"/>
  <c r="CM47" i="8" s="1"/>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Z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F20" i="7" s="1"/>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N33" i="9" l="1"/>
  <c r="BK33" i="11"/>
  <c r="AQ48" i="9"/>
  <c r="CM48" i="8" s="1"/>
  <c r="AO21" i="5"/>
  <c r="AM21" i="5"/>
  <c r="AN21" i="5"/>
  <c r="AV22" i="5"/>
  <c r="AW22" i="5"/>
  <c r="AG21"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Z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N34" i="9" l="1"/>
  <c r="BK34" i="11"/>
  <c r="AQ49" i="9"/>
  <c r="CM49" i="8" s="1"/>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Z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AN35" i="9" l="1"/>
  <c r="BK35" i="11"/>
  <c r="AQ50" i="9"/>
  <c r="CM50" i="8" s="1"/>
  <c r="AO23" i="5"/>
  <c r="AM23" i="5"/>
  <c r="AN23" i="5"/>
  <c r="AR23" i="5" s="1"/>
  <c r="AV24" i="5"/>
  <c r="AW24" i="5"/>
  <c r="AG22" i="7"/>
  <c r="AI22" i="7" s="1"/>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Z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N36" i="9" l="1"/>
  <c r="BK36" i="11"/>
  <c r="AQ51" i="9"/>
  <c r="CM51" i="8" s="1"/>
  <c r="AO24" i="5"/>
  <c r="AM24" i="5"/>
  <c r="AN24" i="5"/>
  <c r="AR24" i="5" s="1"/>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Z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N37" i="9" l="1"/>
  <c r="BK37" i="11"/>
  <c r="AQ52" i="9"/>
  <c r="CM52" i="8" s="1"/>
  <c r="AO25" i="5"/>
  <c r="AM25" i="5"/>
  <c r="AN25" i="5"/>
  <c r="AV26" i="5"/>
  <c r="AW26" i="5"/>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Z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N38" i="9" l="1"/>
  <c r="BK38" i="11"/>
  <c r="AQ53" i="9"/>
  <c r="CM53" i="8" s="1"/>
  <c r="AO26" i="5"/>
  <c r="AM26" i="5"/>
  <c r="AN26" i="5"/>
  <c r="AV27" i="5"/>
  <c r="AW27" i="5"/>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Z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AN39" i="9" l="1"/>
  <c r="BK39" i="11"/>
  <c r="AQ54" i="9"/>
  <c r="CM54" i="8" s="1"/>
  <c r="AO27" i="5"/>
  <c r="AM27" i="5"/>
  <c r="AN27" i="5"/>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Z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BK40" i="11" l="1"/>
  <c r="AN40" i="9"/>
  <c r="AQ55" i="9"/>
  <c r="CM55" i="8" s="1"/>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Z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AN41" i="9" l="1"/>
  <c r="BK41" i="11"/>
  <c r="AQ56" i="9"/>
  <c r="CM56" i="8" s="1"/>
  <c r="AO29" i="5"/>
  <c r="AM29" i="5"/>
  <c r="AN29" i="5"/>
  <c r="AV30" i="5"/>
  <c r="AW30" i="5"/>
  <c r="AG28" i="7"/>
  <c r="AI28" i="7" s="1"/>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Z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N42" i="9" l="1"/>
  <c r="BK42" i="11"/>
  <c r="AQ57" i="9"/>
  <c r="CM57" i="8" s="1"/>
  <c r="AO30" i="5"/>
  <c r="AM30" i="5"/>
  <c r="AN30" i="5"/>
  <c r="AR30" i="5" s="1"/>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Z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N43" i="9" l="1"/>
  <c r="BK43" i="11"/>
  <c r="AQ58" i="9"/>
  <c r="CM58" i="8" s="1"/>
  <c r="AO31" i="5"/>
  <c r="AM31" i="5"/>
  <c r="AN31" i="5"/>
  <c r="AR31" i="5" s="1"/>
  <c r="AV32" i="5"/>
  <c r="AW32" i="5"/>
  <c r="AI53" i="9"/>
  <c r="AO53" i="8" s="1"/>
  <c r="AG31"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B31" i="8"/>
  <c r="CT31" i="8" s="1"/>
  <c r="D32" i="9"/>
  <c r="CA31" i="8"/>
  <c r="BY31" i="8"/>
  <c r="B34" i="5"/>
  <c r="AH34" i="5"/>
  <c r="BU34" i="5"/>
  <c r="B34" i="1"/>
  <c r="BG34" i="1" s="1"/>
  <c r="B34" i="2"/>
  <c r="BZ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N44" i="9" l="1"/>
  <c r="BK44" i="11"/>
  <c r="AQ59" i="9"/>
  <c r="CM59" i="8" s="1"/>
  <c r="AO32" i="5"/>
  <c r="AM32" i="5"/>
  <c r="AN32" i="5"/>
  <c r="AR32" i="5" s="1"/>
  <c r="AV33" i="5"/>
  <c r="AW33" i="5"/>
  <c r="AI54" i="9"/>
  <c r="AO54" i="8" s="1"/>
  <c r="AI31"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Z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N45" i="9" l="1"/>
  <c r="BK45" i="11"/>
  <c r="AQ60" i="9"/>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Z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N46" i="9" l="1"/>
  <c r="BK46" i="11"/>
  <c r="AQ61" i="9"/>
  <c r="CM61" i="8" s="1"/>
  <c r="AO34" i="5"/>
  <c r="AM34" i="5"/>
  <c r="AN34" i="5"/>
  <c r="AR34" i="5" s="1"/>
  <c r="AI56" i="9"/>
  <c r="AO56" i="8" s="1"/>
  <c r="AV35" i="5"/>
  <c r="AW35" i="5"/>
  <c r="AG33" i="7"/>
  <c r="AI33" i="7" s="1"/>
  <c r="CL35" i="8"/>
  <c r="G40" i="8"/>
  <c r="B41" i="4" s="1"/>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Z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AN47" i="9" l="1"/>
  <c r="BK47" i="11"/>
  <c r="AQ62" i="9"/>
  <c r="CM62" i="8" s="1"/>
  <c r="AO35" i="5"/>
  <c r="AM35" i="5"/>
  <c r="AN35" i="5"/>
  <c r="AR35" i="5" s="1"/>
  <c r="AI57" i="9"/>
  <c r="AO57" i="8" s="1"/>
  <c r="AV36" i="5"/>
  <c r="AW36" i="5"/>
  <c r="AG35" i="7"/>
  <c r="AG34" i="7"/>
  <c r="AI34" i="7" s="1"/>
  <c r="CL36" i="8"/>
  <c r="CB35" i="8"/>
  <c r="CT35" i="8" s="1"/>
  <c r="AC35" i="1"/>
  <c r="AI58" i="9"/>
  <c r="AO58" i="8" s="1"/>
  <c r="G41" i="8"/>
  <c r="CF40" i="8"/>
  <c r="O40" i="2"/>
  <c r="BF40" i="5" a="1"/>
  <c r="BF40" i="5" s="1"/>
  <c r="BQ40" i="5" a="1"/>
  <c r="BQ40" i="5" s="1"/>
  <c r="E69" i="4" s="1"/>
  <c r="AM47" i="9"/>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Z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N48" i="9" l="1"/>
  <c r="BK48" i="11"/>
  <c r="AQ63" i="9"/>
  <c r="CM63" i="8" s="1"/>
  <c r="AE39" i="1"/>
  <c r="E58" i="4"/>
  <c r="AO36" i="5"/>
  <c r="AM36" i="5"/>
  <c r="AN36" i="5"/>
  <c r="AR36" i="5" s="1"/>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Z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AF36" i="7" s="1"/>
  <c r="Q36" i="7"/>
  <c r="AB39" i="1"/>
  <c r="DI39" i="5"/>
  <c r="C39" i="5"/>
  <c r="DA38" i="5"/>
  <c r="DG38" i="5" s="1" a="1"/>
  <c r="DG38" i="5" s="1"/>
  <c r="AG48" i="9"/>
  <c r="AK48" i="9"/>
  <c r="AE110" i="9"/>
  <c r="N24" i="1"/>
  <c r="S41" i="2"/>
  <c r="N42" i="2"/>
  <c r="R42" i="2"/>
  <c r="Q41" i="2"/>
  <c r="J43" i="10"/>
  <c r="N43" i="5" s="1"/>
  <c r="P43" i="2"/>
  <c r="AN49" i="9" l="1"/>
  <c r="BK49" i="11"/>
  <c r="AQ64" i="9"/>
  <c r="CM64" i="8" s="1"/>
  <c r="J40" i="2"/>
  <c r="E68" i="4"/>
  <c r="AO37" i="5"/>
  <c r="AM37" i="5"/>
  <c r="AN37" i="5"/>
  <c r="AR37" i="5" s="1"/>
  <c r="AV38" i="5"/>
  <c r="AW38" i="5"/>
  <c r="AG37"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Z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N50" i="9" l="1"/>
  <c r="BK50" i="11"/>
  <c r="AQ65" i="9"/>
  <c r="CM65" i="8" s="1"/>
  <c r="AO38" i="5"/>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Z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CZ41" i="5"/>
  <c r="AB41" i="1"/>
  <c r="DI41" i="5"/>
  <c r="DA40" i="5"/>
  <c r="DG40" i="5" s="1" a="1"/>
  <c r="DG40" i="5" s="1"/>
  <c r="E70" i="4" s="1"/>
  <c r="AG50" i="9"/>
  <c r="AK50" i="9"/>
  <c r="AE112" i="9"/>
  <c r="N26" i="1"/>
  <c r="S43" i="2"/>
  <c r="N44" i="2"/>
  <c r="R44" i="2"/>
  <c r="Q43" i="2"/>
  <c r="J45" i="10"/>
  <c r="N45" i="5" s="1"/>
  <c r="P45" i="2"/>
  <c r="AN51" i="9" l="1"/>
  <c r="BK51" i="11"/>
  <c r="AQ66" i="9"/>
  <c r="CM66" i="8" s="1"/>
  <c r="AO39" i="5"/>
  <c r="AM39" i="5"/>
  <c r="AN39" i="5"/>
  <c r="AV40" i="5"/>
  <c r="AW40" i="5"/>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Z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N52" i="9" l="1"/>
  <c r="BK52" i="11"/>
  <c r="AQ67" i="9"/>
  <c r="CM67" i="8" s="1"/>
  <c r="AO40" i="5"/>
  <c r="AM40" i="5"/>
  <c r="AN40" i="5"/>
  <c r="AR40" i="5" s="1"/>
  <c r="AV41" i="5"/>
  <c r="AW41" i="5"/>
  <c r="DB39" i="8"/>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AF40" i="7" s="1"/>
  <c r="D41" i="9"/>
  <c r="Y39" i="11"/>
  <c r="AH39" i="1" s="1"/>
  <c r="N40" i="7"/>
  <c r="BX40" i="8"/>
  <c r="CD40" i="8" s="1"/>
  <c r="Z39" i="11"/>
  <c r="BZ40" i="8"/>
  <c r="N40" i="11"/>
  <c r="AA39" i="11"/>
  <c r="AK39" i="1" s="1"/>
  <c r="BY40" i="8"/>
  <c r="CI40" i="8"/>
  <c r="DA40" i="8" s="1"/>
  <c r="CH40" i="8"/>
  <c r="CZ40" i="8" s="1"/>
  <c r="BZ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N53" i="9" l="1"/>
  <c r="BK53" i="11"/>
  <c r="AQ68" i="9"/>
  <c r="CM68" i="8" s="1"/>
  <c r="AO41" i="5"/>
  <c r="AM41" i="5"/>
  <c r="AN41" i="5"/>
  <c r="AR41" i="5" s="1"/>
  <c r="AV42" i="5"/>
  <c r="AW42" i="5"/>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Z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G39" i="4" s="1"/>
  <c r="N41" i="11"/>
  <c r="AB40" i="11"/>
  <c r="Q40" i="8" s="1"/>
  <c r="D39" i="4" s="1"/>
  <c r="AA40" i="11"/>
  <c r="AK40" i="1" s="1"/>
  <c r="Y40" i="11"/>
  <c r="AH40" i="1" s="1"/>
  <c r="C44" i="5"/>
  <c r="DA43" i="5"/>
  <c r="DG43" i="5" s="1" a="1"/>
  <c r="DG43" i="5" s="1"/>
  <c r="AB44" i="1"/>
  <c r="DI44" i="5"/>
  <c r="AG53" i="9"/>
  <c r="AK53" i="9"/>
  <c r="AE115" i="9"/>
  <c r="N29" i="1"/>
  <c r="S46" i="2"/>
  <c r="N47" i="2"/>
  <c r="R47" i="2"/>
  <c r="Q46" i="2"/>
  <c r="J48" i="10"/>
  <c r="N48" i="5" s="1"/>
  <c r="P48" i="2"/>
  <c r="AN54" i="9" l="1"/>
  <c r="BK54" i="11"/>
  <c r="AQ69" i="9"/>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Z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N55" i="9" l="1"/>
  <c r="BK55" i="11"/>
  <c r="AQ70" i="9"/>
  <c r="CM70" i="8" s="1"/>
  <c r="AO43" i="5"/>
  <c r="AM43" i="5"/>
  <c r="AN43" i="5"/>
  <c r="AR43" i="5" s="1"/>
  <c r="AV44" i="5"/>
  <c r="AW44" i="5"/>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Z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N56" i="9" l="1"/>
  <c r="BK56" i="11"/>
  <c r="AQ71" i="9"/>
  <c r="CM71" i="8" s="1"/>
  <c r="AO44" i="5"/>
  <c r="AM44" i="5"/>
  <c r="AN44" i="5"/>
  <c r="AV45" i="5"/>
  <c r="AW45" i="5"/>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Z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N57" i="9" l="1"/>
  <c r="BK57" i="11"/>
  <c r="AQ72" i="9"/>
  <c r="CM72" i="8" s="1"/>
  <c r="AO45" i="5"/>
  <c r="AM45" i="5"/>
  <c r="AN45" i="5"/>
  <c r="AV46" i="5"/>
  <c r="AW46" i="5"/>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Z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B48" i="1"/>
  <c r="DI48" i="5"/>
  <c r="DA47" i="5"/>
  <c r="DG47" i="5" s="1" a="1"/>
  <c r="DG47" i="5" s="1"/>
  <c r="AG57" i="9"/>
  <c r="AK57" i="9"/>
  <c r="AE119" i="9"/>
  <c r="N33" i="1"/>
  <c r="S50" i="2"/>
  <c r="N51" i="2"/>
  <c r="R51" i="2"/>
  <c r="Q50" i="2"/>
  <c r="P52" i="2"/>
  <c r="J52" i="10"/>
  <c r="N52" i="5" s="1"/>
  <c r="AN58" i="9" l="1"/>
  <c r="BK58" i="11"/>
  <c r="AQ73" i="9"/>
  <c r="CM73" i="8" s="1"/>
  <c r="AO46" i="5"/>
  <c r="AM46" i="5"/>
  <c r="AN46" i="5"/>
  <c r="AV47" i="5"/>
  <c r="AW47" i="5"/>
  <c r="AG45" i="7"/>
  <c r="CL47"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Z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N59" i="9" l="1"/>
  <c r="BK59" i="11"/>
  <c r="AQ74" i="9"/>
  <c r="CM74" i="8" s="1"/>
  <c r="AO47" i="5"/>
  <c r="AM47" i="5"/>
  <c r="AN47" i="5"/>
  <c r="AV48" i="5"/>
  <c r="AW48" i="5"/>
  <c r="AG46" i="7"/>
  <c r="CL48" i="8"/>
  <c r="CH47" i="8"/>
  <c r="CZ47" i="8" s="1"/>
  <c r="AC47" i="1"/>
  <c r="AI70" i="9"/>
  <c r="AO70" i="8" s="1"/>
  <c r="G53" i="8"/>
  <c r="CF52" i="8"/>
  <c r="O52" i="2"/>
  <c r="AT51" i="5"/>
  <c r="BI52" i="5" a="1"/>
  <c r="BI52" i="5" s="1"/>
  <c r="BF52" i="5" a="1"/>
  <c r="BF52" i="5" s="1"/>
  <c r="AM59" i="9"/>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Z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N60" i="9" l="1"/>
  <c r="BK60" i="11"/>
  <c r="AQ75" i="9"/>
  <c r="CM75" i="8" s="1"/>
  <c r="AO48" i="5"/>
  <c r="AM48" i="5"/>
  <c r="AN48" i="5"/>
  <c r="AV49" i="5"/>
  <c r="AW49" i="5"/>
  <c r="AG47" i="7"/>
  <c r="AE51" i="1"/>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Z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N61" i="9" l="1"/>
  <c r="BK61" i="11"/>
  <c r="AQ76" i="9"/>
  <c r="CM76" i="8" s="1"/>
  <c r="AO49" i="5"/>
  <c r="AM49" i="5"/>
  <c r="AN49" i="5"/>
  <c r="AR49" i="5" s="1"/>
  <c r="AV50" i="5"/>
  <c r="AW50" i="5"/>
  <c r="AG48" i="7"/>
  <c r="J52" i="2"/>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Z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N62" i="9" l="1"/>
  <c r="BK62" i="11"/>
  <c r="AQ77" i="9"/>
  <c r="CM77" i="8" s="1"/>
  <c r="AO50" i="5"/>
  <c r="AM50" i="5"/>
  <c r="AN50" i="5"/>
  <c r="AR50" i="5" s="1"/>
  <c r="AV51" i="5"/>
  <c r="AW51" i="5"/>
  <c r="AG50"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Z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N63" i="9" l="1"/>
  <c r="BK63" i="11"/>
  <c r="AQ78" i="9"/>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Z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N64" i="9" l="1"/>
  <c r="BK64" i="11"/>
  <c r="AQ79" i="9"/>
  <c r="CM79" i="8" s="1"/>
  <c r="AO52" i="5"/>
  <c r="AM52" i="5"/>
  <c r="AN52" i="5"/>
  <c r="AR52" i="5" s="1"/>
  <c r="AV53" i="5"/>
  <c r="AW53" i="5"/>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Z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AN65" i="9" l="1"/>
  <c r="BK65" i="11"/>
  <c r="AQ80" i="9"/>
  <c r="CM80" i="8" s="1"/>
  <c r="B69" i="4"/>
  <c r="AO53" i="5"/>
  <c r="AM53" i="5"/>
  <c r="AN53" i="5"/>
  <c r="AR53" i="5" s="1"/>
  <c r="AV54" i="5"/>
  <c r="AW54" i="5"/>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Z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AF53" i="7" s="1"/>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N66" i="9" l="1"/>
  <c r="BK66" i="11"/>
  <c r="AQ81" i="9"/>
  <c r="CM81" i="8" s="1"/>
  <c r="AO54" i="5"/>
  <c r="AM54" i="5"/>
  <c r="AN54" i="5"/>
  <c r="AR54" i="5" s="1"/>
  <c r="AV55" i="5"/>
  <c r="AW55" i="5"/>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Z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AN67" i="9" l="1"/>
  <c r="BK67" i="11"/>
  <c r="AQ82" i="9"/>
  <c r="CM82" i="8" s="1"/>
  <c r="AO55" i="5"/>
  <c r="AM55" i="5"/>
  <c r="AN55" i="5"/>
  <c r="AV56" i="5"/>
  <c r="AW56" i="5"/>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BZ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N68" i="9" l="1"/>
  <c r="BK68" i="11"/>
  <c r="AQ83" i="9"/>
  <c r="CM83" i="8" s="1"/>
  <c r="AO56" i="5"/>
  <c r="AM56" i="5"/>
  <c r="AN56" i="5"/>
  <c r="AV57" i="5"/>
  <c r="AW57" i="5"/>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Z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N69" i="9" l="1"/>
  <c r="BK69" i="11"/>
  <c r="AQ84" i="9"/>
  <c r="CM84" i="8" s="1"/>
  <c r="AO57" i="5"/>
  <c r="AM57" i="5"/>
  <c r="AN57" i="5"/>
  <c r="AR57" i="5" s="1"/>
  <c r="AV58" i="5"/>
  <c r="AW58" i="5"/>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Z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AN70" i="9" l="1"/>
  <c r="BK70" i="11"/>
  <c r="AQ85" i="9"/>
  <c r="CM85" i="8" s="1"/>
  <c r="AO58" i="5"/>
  <c r="AM58" i="5"/>
  <c r="AN58" i="5"/>
  <c r="AR58" i="5" s="1"/>
  <c r="AV59" i="5"/>
  <c r="AW59" i="5"/>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Z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AF58" i="7" s="1"/>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N71" i="9" l="1"/>
  <c r="BK71" i="11"/>
  <c r="AQ86" i="9"/>
  <c r="CM86" i="8" s="1"/>
  <c r="AO59" i="5"/>
  <c r="AM59" i="5"/>
  <c r="AN59" i="5"/>
  <c r="AR59" i="5" s="1"/>
  <c r="AV60" i="5"/>
  <c r="AW60" i="5"/>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Z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N72" i="9" l="1"/>
  <c r="BK72" i="11"/>
  <c r="AQ87" i="9"/>
  <c r="CM87" i="8" s="1"/>
  <c r="AO60" i="5"/>
  <c r="AM60" i="5"/>
  <c r="AN60" i="5"/>
  <c r="AV61" i="5"/>
  <c r="AW61" i="5"/>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Z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N73" i="9" l="1"/>
  <c r="BK73" i="11"/>
  <c r="AQ88" i="9"/>
  <c r="CM88" i="8" s="1"/>
  <c r="AO61" i="5"/>
  <c r="AM61" i="5"/>
  <c r="AN61" i="5"/>
  <c r="AR61" i="5" s="1"/>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Z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N74" i="9" l="1"/>
  <c r="BK74" i="11"/>
  <c r="AQ89" i="9"/>
  <c r="CM89" i="8" s="1"/>
  <c r="AO62" i="5"/>
  <c r="AM62" i="5"/>
  <c r="AN62" i="5"/>
  <c r="AR62" i="5" s="1"/>
  <c r="AV63" i="5"/>
  <c r="AW63" i="5"/>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Z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AF62" i="7" s="1"/>
  <c r="Q62" i="7"/>
  <c r="C65" i="5"/>
  <c r="DA64" i="5"/>
  <c r="DG64" i="5" s="1" a="1"/>
  <c r="DG64" i="5" s="1"/>
  <c r="AB65" i="1"/>
  <c r="DI65" i="5"/>
  <c r="AG74" i="9"/>
  <c r="AK74" i="9"/>
  <c r="AE136" i="9"/>
  <c r="N50" i="1"/>
  <c r="S67" i="2"/>
  <c r="N68" i="2"/>
  <c r="R68" i="2"/>
  <c r="Q67" i="2"/>
  <c r="J69" i="10"/>
  <c r="N69" i="5" s="1"/>
  <c r="P69" i="2"/>
  <c r="AN75" i="9" l="1"/>
  <c r="BK75" i="11"/>
  <c r="AQ90" i="9"/>
  <c r="CM90" i="8" s="1"/>
  <c r="AO63" i="5"/>
  <c r="AM63" i="5"/>
  <c r="AN63" i="5"/>
  <c r="AR63" i="5" s="1"/>
  <c r="AV64" i="5"/>
  <c r="AW64" i="5"/>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Z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N76" i="9" l="1"/>
  <c r="BK76" i="11"/>
  <c r="AQ91" i="9"/>
  <c r="CM91" i="8" s="1"/>
  <c r="AO64" i="5"/>
  <c r="AM64" i="5"/>
  <c r="AN64" i="5"/>
  <c r="AR64" i="5" s="1"/>
  <c r="AV65" i="5"/>
  <c r="AW65" i="5"/>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Z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AF64" i="7" s="1"/>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N77" i="9" l="1"/>
  <c r="BK77" i="11"/>
  <c r="AQ92" i="9"/>
  <c r="CM92" i="8" s="1"/>
  <c r="AO65" i="5"/>
  <c r="AM65" i="5"/>
  <c r="AN65" i="5"/>
  <c r="AR65" i="5" s="1"/>
  <c r="AV66" i="5"/>
  <c r="AW66" i="5"/>
  <c r="AG64" i="7"/>
  <c r="AI64" i="7" s="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Z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N78" i="9" l="1"/>
  <c r="BK78" i="11"/>
  <c r="AQ93" i="9"/>
  <c r="CM93" i="8" s="1"/>
  <c r="AO66" i="5"/>
  <c r="AM66" i="5"/>
  <c r="AN66" i="5"/>
  <c r="AR66" i="5" s="1"/>
  <c r="AV67" i="5"/>
  <c r="AW67" i="5"/>
  <c r="AG66"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Z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N79" i="9" l="1"/>
  <c r="BK79" i="11"/>
  <c r="AQ94" i="9"/>
  <c r="CM94" i="8" s="1"/>
  <c r="AO67" i="5"/>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Z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N80" i="9" l="1"/>
  <c r="BK80" i="11"/>
  <c r="AQ95" i="9"/>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Z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N81" i="9" l="1"/>
  <c r="BK81" i="11"/>
  <c r="AQ96" i="9"/>
  <c r="CM96" i="8" s="1"/>
  <c r="AO69" i="5"/>
  <c r="AM69" i="5"/>
  <c r="AN69" i="5"/>
  <c r="AV70" i="5"/>
  <c r="AW70" i="5"/>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Z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N82" i="9" l="1"/>
  <c r="BK82" i="11"/>
  <c r="AQ97" i="9"/>
  <c r="CM97" i="8" s="1"/>
  <c r="AO70" i="5"/>
  <c r="AM70" i="5"/>
  <c r="AN70" i="5"/>
  <c r="AV71" i="5"/>
  <c r="AW71" i="5"/>
  <c r="AG70"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Z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N83" i="9" l="1"/>
  <c r="BK83" i="11"/>
  <c r="AQ98" i="9"/>
  <c r="CM98" i="8" s="1"/>
  <c r="AO71" i="5"/>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Z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N84" i="9" l="1"/>
  <c r="BK84" i="11"/>
  <c r="AQ99" i="9"/>
  <c r="CM99" i="8" s="1"/>
  <c r="AO72" i="5"/>
  <c r="AM72" i="5"/>
  <c r="AN72" i="5"/>
  <c r="AR72" i="5" s="1"/>
  <c r="AV73" i="5"/>
  <c r="AW73" i="5"/>
  <c r="AG72"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Z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N85" i="9" l="1"/>
  <c r="BK85" i="11"/>
  <c r="AQ100" i="9"/>
  <c r="CM100" i="8" s="1"/>
  <c r="AO73" i="5"/>
  <c r="AM73" i="5"/>
  <c r="AN73" i="5"/>
  <c r="AR73" i="5" s="1"/>
  <c r="AV74" i="5"/>
  <c r="AW74" i="5"/>
  <c r="AI72"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Z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N86" i="9" l="1"/>
  <c r="BK86" i="11"/>
  <c r="AQ101" i="9"/>
  <c r="CM101" i="8" s="1"/>
  <c r="AO74" i="5"/>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Z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N87" i="9" l="1"/>
  <c r="BK87" i="11"/>
  <c r="AQ102" i="9"/>
  <c r="CM102" i="8" s="1"/>
  <c r="AO75" i="5"/>
  <c r="AM75" i="5"/>
  <c r="AN75" i="5"/>
  <c r="AR75" i="5" s="1"/>
  <c r="AV76" i="5"/>
  <c r="AW76" i="5"/>
  <c r="AG75"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Z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N88" i="9" l="1"/>
  <c r="BK88" i="11"/>
  <c r="AQ103" i="9"/>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Z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DA78" i="5"/>
  <c r="DG78" i="5" s="1" a="1"/>
  <c r="DG78" i="5" s="1"/>
  <c r="AB79" i="1"/>
  <c r="DI79" i="5"/>
  <c r="AG88" i="9"/>
  <c r="AK88" i="9"/>
  <c r="L35" i="11"/>
  <c r="AV35" i="8"/>
  <c r="B71" i="14"/>
  <c r="N64" i="1"/>
  <c r="S81" i="2"/>
  <c r="N82" i="2"/>
  <c r="R82" i="2"/>
  <c r="Q81" i="2"/>
  <c r="P83" i="2"/>
  <c r="J83" i="10"/>
  <c r="N83" i="5" s="1"/>
  <c r="AN89" i="9" l="1"/>
  <c r="BK89" i="11"/>
  <c r="AQ104" i="9"/>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Z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N90" i="9" l="1"/>
  <c r="BK90" i="11"/>
  <c r="AQ105" i="9"/>
  <c r="CM105" i="8" s="1"/>
  <c r="AO78" i="5"/>
  <c r="AM78" i="5"/>
  <c r="AN78" i="5"/>
  <c r="AR78" i="5" s="1"/>
  <c r="AV79" i="5"/>
  <c r="AW79" i="5"/>
  <c r="AG77" i="7"/>
  <c r="AI77" i="7" s="1"/>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Z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N91" i="9" l="1"/>
  <c r="BK91" i="11"/>
  <c r="AQ106" i="9"/>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Z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N92" i="9" l="1"/>
  <c r="BK92" i="11"/>
  <c r="AQ107" i="9"/>
  <c r="CM107" i="8" s="1"/>
  <c r="AO80" i="5"/>
  <c r="AM80" i="5"/>
  <c r="AN80" i="5"/>
  <c r="AV81" i="5"/>
  <c r="AW81" i="5"/>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Z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N93" i="9" l="1"/>
  <c r="BK93" i="11"/>
  <c r="AQ108" i="9"/>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Z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N94" i="9" l="1"/>
  <c r="BK94" i="11"/>
  <c r="AQ109" i="9"/>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Z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AF82" i="7" s="1"/>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N95" i="9" l="1"/>
  <c r="BK95" i="11"/>
  <c r="AQ110" i="9"/>
  <c r="CM110" i="8" s="1"/>
  <c r="AO83" i="5"/>
  <c r="AM83" i="5"/>
  <c r="AN83" i="5"/>
  <c r="AR83" i="5" s="1"/>
  <c r="AV84" i="5"/>
  <c r="AW84" i="5"/>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Z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N96" i="9" l="1"/>
  <c r="BK96" i="11"/>
  <c r="AQ111" i="9"/>
  <c r="CM111" i="8" s="1"/>
  <c r="AO84" i="5"/>
  <c r="AM84" i="5"/>
  <c r="AN84" i="5"/>
  <c r="AR84" i="5" s="1"/>
  <c r="AV85" i="5"/>
  <c r="AW85" i="5"/>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Z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AF84" i="7" s="1"/>
  <c r="Q84" i="7"/>
  <c r="C87" i="5"/>
  <c r="DA86" i="5"/>
  <c r="DG86" i="5" s="1" a="1"/>
  <c r="DG86" i="5" s="1"/>
  <c r="DI87" i="5"/>
  <c r="AB87" i="1"/>
  <c r="AG96" i="9"/>
  <c r="AK96" i="9"/>
  <c r="N72" i="1"/>
  <c r="S89" i="2"/>
  <c r="N90" i="2"/>
  <c r="R90" i="2"/>
  <c r="Q89" i="2"/>
  <c r="J91" i="10"/>
  <c r="N91" i="5" s="1"/>
  <c r="P91" i="2"/>
  <c r="AN97" i="9" l="1"/>
  <c r="BK97" i="11"/>
  <c r="AQ112" i="9"/>
  <c r="CM112" i="8" s="1"/>
  <c r="AO85" i="5"/>
  <c r="AM85" i="5"/>
  <c r="AN85" i="5"/>
  <c r="AR85" i="5" s="1"/>
  <c r="AV86" i="5"/>
  <c r="AW86" i="5"/>
  <c r="AG85"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Z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N98" i="9" l="1"/>
  <c r="BK98" i="11"/>
  <c r="AQ113" i="9"/>
  <c r="CM113" i="8" s="1"/>
  <c r="AI85" i="7"/>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Z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N99" i="9" l="1"/>
  <c r="BK99" i="11"/>
  <c r="AQ114" i="9"/>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Z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N100" i="9" l="1"/>
  <c r="BK100" i="11"/>
  <c r="AQ115" i="9"/>
  <c r="CM115" i="8" s="1"/>
  <c r="AO88" i="5"/>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Z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N101" i="9" l="1"/>
  <c r="BK101" i="11"/>
  <c r="AQ116" i="9"/>
  <c r="CM116" i="8" s="1"/>
  <c r="AO89" i="5"/>
  <c r="AM89" i="5"/>
  <c r="AN89" i="5"/>
  <c r="AR89" i="5" s="1"/>
  <c r="AV90" i="5"/>
  <c r="AW90" i="5"/>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Z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N102" i="9" l="1"/>
  <c r="BK102" i="11"/>
  <c r="AQ117" i="9"/>
  <c r="CM117" i="8" s="1"/>
  <c r="AO90" i="5"/>
  <c r="AM90" i="5"/>
  <c r="AN90" i="5"/>
  <c r="AR90" i="5" s="1"/>
  <c r="AV91" i="5"/>
  <c r="AW91" i="5"/>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Z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AF90" i="7" s="1"/>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N103" i="9" l="1"/>
  <c r="BK103" i="11"/>
  <c r="AQ118" i="9"/>
  <c r="CM118" i="8" s="1"/>
  <c r="AO91" i="5"/>
  <c r="AM91" i="5"/>
  <c r="AN91" i="5"/>
  <c r="AR91" i="5" s="1"/>
  <c r="AV92" i="5"/>
  <c r="AW92" i="5"/>
  <c r="AG90" i="7"/>
  <c r="AI90" i="7" s="1"/>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Z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N104" i="9" l="1"/>
  <c r="BK104" i="11"/>
  <c r="AQ119" i="9"/>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Z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AN105" i="9" l="1"/>
  <c r="BK105" i="11"/>
  <c r="AQ120" i="9"/>
  <c r="CM120" i="8" s="1"/>
  <c r="AO93" i="5"/>
  <c r="AM93" i="5"/>
  <c r="AN93" i="5"/>
  <c r="AR93" i="5" s="1"/>
  <c r="AV94" i="5"/>
  <c r="AW94" i="5"/>
  <c r="AG93"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Z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N106" i="9" l="1"/>
  <c r="BK106" i="11"/>
  <c r="AQ121" i="9"/>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Z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N107" i="9" l="1"/>
  <c r="BK107" i="11"/>
  <c r="AQ122" i="9"/>
  <c r="CM122" i="8" s="1"/>
  <c r="AO95" i="5"/>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Z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N108" i="9" l="1"/>
  <c r="BK108" i="11"/>
  <c r="AQ123" i="9"/>
  <c r="CM123" i="8" s="1"/>
  <c r="AO96" i="5"/>
  <c r="AM96" i="5"/>
  <c r="AN96" i="5"/>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Z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N109" i="9" l="1"/>
  <c r="BK109" i="11"/>
  <c r="AQ124" i="9"/>
  <c r="CM124" i="8" s="1"/>
  <c r="AO97" i="5"/>
  <c r="AM97" i="5"/>
  <c r="AN97" i="5"/>
  <c r="AR97" i="5" s="1"/>
  <c r="AV98" i="5"/>
  <c r="AW98" i="5"/>
  <c r="AG97"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Z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N110" i="9" l="1"/>
  <c r="BK110" i="11"/>
  <c r="AQ125" i="9"/>
  <c r="CM125" i="8" s="1"/>
  <c r="AI97" i="7"/>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AF98" i="7" s="1"/>
  <c r="F100" i="5"/>
  <c r="BZ98" i="8"/>
  <c r="D99" i="9"/>
  <c r="Z97" i="11"/>
  <c r="B101" i="5"/>
  <c r="AA97" i="11"/>
  <c r="AK97" i="1" s="1"/>
  <c r="AB97" i="11"/>
  <c r="Q97" i="8" s="1"/>
  <c r="AC97" i="11"/>
  <c r="U97" i="8" s="1"/>
  <c r="N98" i="11"/>
  <c r="B101" i="2"/>
  <c r="B101" i="1"/>
  <c r="BG101" i="1" s="1"/>
  <c r="AH101" i="5"/>
  <c r="BU101" i="5"/>
  <c r="BZ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N111" i="9" l="1"/>
  <c r="BK111" i="11"/>
  <c r="AQ126" i="9"/>
  <c r="CM126" i="8" s="1"/>
  <c r="AO99" i="5"/>
  <c r="AM99" i="5"/>
  <c r="AN99" i="5"/>
  <c r="AR99" i="5" s="1"/>
  <c r="AV100" i="5"/>
  <c r="AW100" i="5"/>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Z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N112" i="9" l="1"/>
  <c r="BK112" i="11"/>
  <c r="AQ127" i="9"/>
  <c r="CM127" i="8" s="1"/>
  <c r="AO100" i="5"/>
  <c r="AM100" i="5"/>
  <c r="AN100" i="5"/>
  <c r="AV101" i="5"/>
  <c r="AW101" i="5"/>
  <c r="AG99" i="7"/>
  <c r="AI99" i="7" s="1"/>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Z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N113" i="9" l="1"/>
  <c r="BK113" i="11"/>
  <c r="AQ128" i="9"/>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Z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N114" i="9" l="1"/>
  <c r="BK114" i="11"/>
  <c r="AQ129" i="9"/>
  <c r="CM129" i="8" s="1"/>
  <c r="AO102" i="5"/>
  <c r="AM102" i="5"/>
  <c r="AN102" i="5"/>
  <c r="AR102" i="5" s="1"/>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Z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N115" i="9" l="1"/>
  <c r="BK115" i="11"/>
  <c r="AQ130" i="9"/>
  <c r="CM130" i="8" s="1"/>
  <c r="AO103" i="5"/>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Z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N116" i="9" l="1"/>
  <c r="BK116" i="11"/>
  <c r="AQ131" i="9"/>
  <c r="CM131" i="8" s="1"/>
  <c r="AO104" i="5"/>
  <c r="AM104" i="5"/>
  <c r="AN104" i="5"/>
  <c r="AR104" i="5" s="1"/>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Z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N117" i="9" l="1"/>
  <c r="BK117" i="11"/>
  <c r="AQ132" i="9"/>
  <c r="CM132" i="8" s="1"/>
  <c r="AO105" i="5"/>
  <c r="AM105" i="5"/>
  <c r="AN105" i="5"/>
  <c r="AR105" i="5" s="1"/>
  <c r="AV106" i="5"/>
  <c r="AW106" i="5"/>
  <c r="AG104" i="7"/>
  <c r="AI104" i="7" s="1"/>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Z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N118" i="9" l="1"/>
  <c r="BK118" i="11"/>
  <c r="AQ133" i="9"/>
  <c r="CM133" i="8" s="1"/>
  <c r="AO106" i="5"/>
  <c r="AM106" i="5"/>
  <c r="AN106" i="5"/>
  <c r="AR106" i="5" s="1"/>
  <c r="AV107" i="5"/>
  <c r="AW107" i="5"/>
  <c r="AI105"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Z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N119" i="9" l="1"/>
  <c r="BK119" i="11"/>
  <c r="AQ134" i="9"/>
  <c r="CM134" i="8" s="1"/>
  <c r="AO107" i="5"/>
  <c r="AM107" i="5"/>
  <c r="AN107" i="5"/>
  <c r="AV108" i="5"/>
  <c r="AW108" i="5"/>
  <c r="AI106"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Z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N120" i="9" l="1"/>
  <c r="BK120" i="11"/>
  <c r="AQ135" i="9"/>
  <c r="CM135" i="8" s="1"/>
  <c r="AO108" i="5"/>
  <c r="AM108" i="5"/>
  <c r="AN108" i="5"/>
  <c r="AV109" i="5"/>
  <c r="AW109" i="5"/>
  <c r="AI107"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Z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N121" i="9" l="1"/>
  <c r="BK121" i="11"/>
  <c r="AQ136" i="9"/>
  <c r="CM136" i="8" s="1"/>
  <c r="AO109" i="5"/>
  <c r="AM109" i="5"/>
  <c r="AN109" i="5"/>
  <c r="AR109" i="5" s="1"/>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Z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N122" i="9" l="1"/>
  <c r="BK122" i="11"/>
  <c r="AO110" i="5"/>
  <c r="AM110" i="5"/>
  <c r="AN110" i="5"/>
  <c r="AR110" i="5" s="1"/>
  <c r="AV111" i="5"/>
  <c r="AW111" i="5"/>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Z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N123" i="9" l="1"/>
  <c r="BK123" i="11"/>
  <c r="AO111" i="5"/>
  <c r="AM111" i="5"/>
  <c r="AN111" i="5"/>
  <c r="AR111" i="5" s="1"/>
  <c r="AV112" i="5"/>
  <c r="AW112" i="5"/>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Z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AF111" i="7" s="1"/>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N124" i="9" l="1"/>
  <c r="BK124" i="11"/>
  <c r="AO112" i="5"/>
  <c r="AM112" i="5"/>
  <c r="AN112" i="5"/>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Z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N125" i="9" l="1"/>
  <c r="BK125" i="11"/>
  <c r="AI112" i="7"/>
  <c r="AO113" i="5"/>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Z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N126" i="9" l="1"/>
  <c r="BK126" i="11"/>
  <c r="AO114" i="5"/>
  <c r="AM114" i="5"/>
  <c r="AN114" i="5"/>
  <c r="AV115" i="5"/>
  <c r="AW115" i="5"/>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Z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N127" i="9" l="1"/>
  <c r="BK127" i="11"/>
  <c r="AO115" i="5"/>
  <c r="AM115" i="5"/>
  <c r="AN115" i="5"/>
  <c r="AR115" i="5" s="1"/>
  <c r="AV116" i="5"/>
  <c r="AW116" i="5"/>
  <c r="AG115"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Z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N128" i="9" l="1"/>
  <c r="BK128" i="11"/>
  <c r="AI115" i="7"/>
  <c r="AO116" i="5"/>
  <c r="AM116" i="5"/>
  <c r="AN116" i="5"/>
  <c r="AV117" i="5"/>
  <c r="AW117" i="5"/>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Z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N129" i="9" l="1"/>
  <c r="BK129" i="11"/>
  <c r="AO117" i="5"/>
  <c r="AM117" i="5"/>
  <c r="AN117" i="5"/>
  <c r="AV118" i="5"/>
  <c r="AW118" i="5"/>
  <c r="AI116"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Z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N130" i="9" l="1"/>
  <c r="BK130" i="11"/>
  <c r="AO118" i="5"/>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Z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N131" i="9" l="1"/>
  <c r="BK131" i="11"/>
  <c r="AO119" i="5"/>
  <c r="AM119" i="5"/>
  <c r="AN119" i="5"/>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Z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N132" i="9" l="1"/>
  <c r="BK132" i="11"/>
  <c r="AO120" i="5"/>
  <c r="AM120" i="5"/>
  <c r="AN120" i="5"/>
  <c r="AR120" i="5" s="1"/>
  <c r="AV121" i="5"/>
  <c r="AW121" i="5"/>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Z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N133" i="9" l="1"/>
  <c r="BK133" i="11"/>
  <c r="AO121" i="5"/>
  <c r="AM121" i="5"/>
  <c r="AN121" i="5"/>
  <c r="AV122" i="5"/>
  <c r="AW122" i="5"/>
  <c r="AI120"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Z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N134" i="9" l="1"/>
  <c r="BK134" i="11"/>
  <c r="AO122" i="5"/>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Z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N135" i="9" l="1"/>
  <c r="BK135" i="11"/>
  <c r="AO123" i="5"/>
  <c r="AM123" i="5"/>
  <c r="AN123" i="5"/>
  <c r="AV124" i="5"/>
  <c r="AW124" i="5"/>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Z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N136" i="9" l="1"/>
  <c r="BK136" i="11"/>
  <c r="AO124" i="5"/>
  <c r="AM124" i="5"/>
  <c r="AN124" i="5"/>
  <c r="AR124" i="5" s="1"/>
  <c r="AV125" i="5"/>
  <c r="AW125" i="5"/>
  <c r="AG123" i="7"/>
  <c r="AI123" i="7" s="1"/>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Z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Z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Z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Z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B130" i="1"/>
  <c r="DI130" i="5"/>
  <c r="DA129" i="5"/>
  <c r="DG129" i="5" s="1" a="1"/>
  <c r="DG129" i="5" s="1"/>
  <c r="N115" i="1"/>
  <c r="S132" i="2"/>
  <c r="N133" i="2"/>
  <c r="R133" i="2"/>
  <c r="Q132" i="2"/>
  <c r="J134" i="10"/>
  <c r="N134" i="5" s="1"/>
  <c r="P134" i="2"/>
  <c r="AO128" i="5" l="1"/>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Z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F128" i="7" s="1"/>
  <c r="DA130" i="5"/>
  <c r="DG130" i="5" s="1" a="1"/>
  <c r="DG130" i="5" s="1"/>
  <c r="AB131" i="1"/>
  <c r="DI131" i="5"/>
  <c r="N116" i="1"/>
  <c r="S133" i="2"/>
  <c r="N134" i="2"/>
  <c r="R134" i="2"/>
  <c r="Q133" i="2"/>
  <c r="P135" i="2"/>
  <c r="J135" i="10"/>
  <c r="N135" i="5" s="1"/>
  <c r="AO129" i="5" l="1"/>
  <c r="AM129" i="5"/>
  <c r="AN129" i="5"/>
  <c r="AR129" i="5" s="1"/>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Z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AF129" i="7" s="1"/>
  <c r="Q129" i="7"/>
  <c r="AB132" i="1"/>
  <c r="DI132" i="5"/>
  <c r="DA131" i="5"/>
  <c r="DG131" i="5" s="1" a="1"/>
  <c r="DG131" i="5" s="1"/>
  <c r="N117" i="1"/>
  <c r="S134" i="2"/>
  <c r="N135" i="2"/>
  <c r="R135" i="2"/>
  <c r="Q134" i="2"/>
  <c r="J136" i="10"/>
  <c r="N136" i="5" s="1"/>
  <c r="P136" i="2"/>
  <c r="AO130" i="5" l="1"/>
  <c r="AM130" i="5"/>
  <c r="AN130" i="5"/>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Z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Z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AF131" i="7" s="1"/>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B135" i="10"/>
  <c r="D135" i="7"/>
  <c r="G136" i="5"/>
  <c r="B135" i="5"/>
  <c r="C135" i="5"/>
  <c r="AB136" i="1"/>
  <c r="DI136" i="5"/>
  <c r="DA135" i="5"/>
  <c r="N121" i="1"/>
  <c r="AO133" i="5" l="1"/>
  <c r="AM133" i="5"/>
  <c r="AN133" i="5"/>
  <c r="AV134" i="5"/>
  <c r="AW134" i="5"/>
  <c r="AG133"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AO135" i="5" l="1"/>
  <c r="AM135" i="5"/>
  <c r="AN135" i="5"/>
  <c r="AR135" i="5" s="1"/>
  <c r="AV136" i="5"/>
  <c r="AW136" i="5"/>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G136"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P4" i="7" s="1"/>
  <c r="S4" i="8"/>
  <c r="V4" i="8" s="1"/>
  <c r="F4" i="1"/>
  <c r="I4" i="2"/>
  <c r="AA4" i="1" s="1"/>
  <c r="S4" i="1" s="1"/>
  <c r="H5" i="1" s="1"/>
  <c r="AK5" i="5" s="1"/>
  <c r="G4" i="2"/>
  <c r="Z4" i="2" s="1"/>
  <c r="BM136" i="1"/>
  <c r="AR4" i="1"/>
  <c r="V4" i="1" s="1"/>
  <c r="K5" i="1" s="1"/>
  <c r="AR5" i="1" s="1"/>
  <c r="V5" i="1" s="1"/>
  <c r="K6" i="1" s="1"/>
  <c r="AR6" i="1" s="1"/>
  <c r="C4" i="9"/>
  <c r="BL4" i="1"/>
  <c r="E41" i="4"/>
  <c r="E40" i="4"/>
  <c r="F4" i="9" l="1"/>
  <c r="AP4" i="1"/>
  <c r="T4" i="1" s="1"/>
  <c r="I5" i="1" s="1"/>
  <c r="AO5" i="1" s="1"/>
  <c r="T4" i="8"/>
  <c r="W4" i="8" s="1"/>
  <c r="O4" i="7"/>
  <c r="I4" i="11"/>
  <c r="AQ5" i="8"/>
  <c r="AC5" i="7"/>
  <c r="BI5" i="1"/>
  <c r="C5" i="11"/>
  <c r="V5" i="10"/>
  <c r="C4" i="8"/>
  <c r="C5" i="9"/>
  <c r="BL5" i="1"/>
  <c r="L24" i="11"/>
  <c r="AV24" i="8"/>
  <c r="L25" i="11"/>
  <c r="AV25" i="8"/>
  <c r="L27" i="11"/>
  <c r="AV27" i="8"/>
  <c r="L26" i="11"/>
  <c r="AV26" i="8"/>
  <c r="BL6" i="1"/>
  <c r="V6" i="1"/>
  <c r="K7" i="1" s="1"/>
  <c r="AR7" i="1" s="1"/>
  <c r="C6" i="9"/>
  <c r="E18" i="4"/>
  <c r="BJ5" i="1" l="1"/>
  <c r="AA5" i="8"/>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T10" i="1"/>
  <c r="I11" i="1" s="1"/>
  <c r="AO11" i="1" s="1"/>
  <c r="J10" i="11"/>
  <c r="AO11" i="8" l="1"/>
  <c r="E23" i="8" s="1"/>
  <c r="M23" i="2" s="1"/>
  <c r="Z10" i="2"/>
  <c r="BJ11" i="1"/>
  <c r="P10" i="7"/>
  <c r="F10" i="9"/>
  <c r="C10" i="8"/>
  <c r="DF23" i="8" l="1"/>
  <c r="G23" i="1" s="1"/>
  <c r="N23" i="8" s="1"/>
  <c r="CG23" i="8"/>
  <c r="P23" i="8"/>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J11" i="11"/>
  <c r="F11" i="9" s="1"/>
  <c r="I11" i="11"/>
  <c r="O11" i="7"/>
  <c r="V11" i="8"/>
  <c r="AK12" i="5"/>
  <c r="C12" i="11"/>
  <c r="BI12" i="1"/>
  <c r="AQ12" i="8"/>
  <c r="V12" i="10"/>
  <c r="AO12" i="8" l="1"/>
  <c r="E24" i="8" s="1"/>
  <c r="M24" i="2" s="1"/>
  <c r="Z11" i="2"/>
  <c r="Y11" i="2" s="1"/>
  <c r="X11" i="2" s="1"/>
  <c r="AO12" i="1"/>
  <c r="BJ12" i="1"/>
  <c r="C11" i="8"/>
  <c r="P11" i="7"/>
  <c r="CG24" i="8" l="1"/>
  <c r="P24" i="8" s="1"/>
  <c r="R24" i="8" s="1"/>
  <c r="DF24" i="8"/>
  <c r="G24" i="1" s="1"/>
  <c r="N24" i="8" s="1"/>
  <c r="AA12" i="8"/>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AQ14" i="8"/>
  <c r="J13" i="11"/>
  <c r="P13" i="7" s="1"/>
  <c r="O13" i="7"/>
  <c r="I13" i="11"/>
  <c r="BI14" i="1"/>
  <c r="V14" i="10"/>
  <c r="AK14" i="5"/>
  <c r="AC14" i="7"/>
  <c r="C14" i="11"/>
  <c r="BJ14" i="1"/>
  <c r="AO14" i="8" l="1"/>
  <c r="E26" i="8" s="1"/>
  <c r="DF26" i="8" s="1"/>
  <c r="G26" i="1" s="1"/>
  <c r="N26" i="8" s="1"/>
  <c r="Z13" i="2"/>
  <c r="AA14" i="8" s="1"/>
  <c r="C13" i="8"/>
  <c r="F13" i="9"/>
  <c r="Y13" i="2" l="1"/>
  <c r="X13" i="2" s="1"/>
  <c r="M26" i="2"/>
  <c r="CG26" i="8"/>
  <c r="P26" i="8" s="1"/>
  <c r="R26" i="8" s="1"/>
  <c r="B14" i="8"/>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AO15" i="8" l="1"/>
  <c r="E27" i="8" s="1"/>
  <c r="M27" i="2" s="1"/>
  <c r="Z14" i="2"/>
  <c r="BJ15" i="1"/>
  <c r="P14" i="7"/>
  <c r="F14" i="9"/>
  <c r="C14" i="8"/>
  <c r="AK15" i="5"/>
  <c r="AQ15" i="8"/>
  <c r="C15" i="11"/>
  <c r="BI15" i="1"/>
  <c r="V15" i="10"/>
  <c r="AC15" i="7"/>
  <c r="AA15" i="8" l="1"/>
  <c r="DF27" i="8"/>
  <c r="G27" i="1" s="1"/>
  <c r="N27" i="8" s="1"/>
  <c r="CG27" i="8"/>
  <c r="P27" i="8" s="1"/>
  <c r="R27" i="8" s="1"/>
  <c r="Y14" i="2"/>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AO17" i="8" l="1"/>
  <c r="E29" i="8" s="1"/>
  <c r="E30" i="8" s="1"/>
  <c r="Z16" i="2"/>
  <c r="AA17" i="8" s="1"/>
  <c r="C16" i="8"/>
  <c r="BJ17" i="1"/>
  <c r="P16" i="7"/>
  <c r="F16" i="9"/>
  <c r="BI17" i="1"/>
  <c r="V17" i="10"/>
  <c r="AC17" i="7"/>
  <c r="AQ17" i="8"/>
  <c r="AK17" i="5"/>
  <c r="C17" i="11"/>
  <c r="DF29" i="8" l="1"/>
  <c r="G29" i="1" s="1"/>
  <c r="N29" i="8" s="1"/>
  <c r="CG29" i="8"/>
  <c r="P29" i="8" s="1"/>
  <c r="R29" i="8" s="1"/>
  <c r="M29" i="2"/>
  <c r="E31" i="8"/>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B39" i="4" s="1"/>
  <c r="C98" i="4" s="1"/>
  <c r="M39" i="2"/>
  <c r="CG39" i="8"/>
  <c r="P39" i="8" s="1"/>
  <c r="R39" i="8" s="1"/>
  <c r="DF39" i="8"/>
  <c r="G39" i="1" s="1"/>
  <c r="N39" i="8" s="1"/>
  <c r="U18" i="2"/>
  <c r="W17" i="2" s="1"/>
  <c r="E41" i="8" l="1"/>
  <c r="CG40" i="8"/>
  <c r="P40" i="8" s="1"/>
  <c r="R40" i="8" s="1"/>
  <c r="M40" i="2"/>
  <c r="DF40" i="8"/>
  <c r="G40" i="1" s="1"/>
  <c r="C18" i="2"/>
  <c r="S18" i="8" s="1"/>
  <c r="N40" i="8" l="1"/>
  <c r="B59" i="4"/>
  <c r="E42" i="8"/>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E53" i="8" l="1"/>
  <c r="CG52" i="8"/>
  <c r="P52" i="8" s="1"/>
  <c r="R52" i="8" s="1"/>
  <c r="M52" i="2"/>
  <c r="DF52" i="8"/>
  <c r="G52" i="1" s="1"/>
  <c r="D20" i="2"/>
  <c r="H20" i="11"/>
  <c r="E20" i="2"/>
  <c r="L20" i="2" s="1"/>
  <c r="AW20" i="8"/>
  <c r="AB20" i="7"/>
  <c r="AJ20" i="7" s="1"/>
  <c r="N52" i="8" l="1"/>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AP22" i="1"/>
  <c r="T22" i="1" s="1"/>
  <c r="I23" i="1" s="1"/>
  <c r="AO23" i="1" s="1"/>
  <c r="AA22" i="1"/>
  <c r="S22" i="1" s="1"/>
  <c r="H23" i="1" s="1"/>
  <c r="O22" i="7"/>
  <c r="T22" i="8"/>
  <c r="W22" i="8" s="1"/>
  <c r="J22" i="11"/>
  <c r="P22" i="7" s="1"/>
  <c r="Z22" i="2" l="1"/>
  <c r="AA23" i="8" s="1"/>
  <c r="B23" i="8" s="1"/>
  <c r="C23" i="11"/>
  <c r="C22" i="8"/>
  <c r="F22" i="9"/>
  <c r="AC23" i="7"/>
  <c r="V23" i="10"/>
  <c r="AK23" i="5"/>
  <c r="BI23" i="1"/>
  <c r="AQ23" i="8"/>
  <c r="BJ23" i="1"/>
  <c r="Y22" i="2" l="1"/>
  <c r="X22" i="2" s="1"/>
  <c r="D23" i="2"/>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I58" i="4" l="1"/>
  <c r="J58" i="4"/>
  <c r="C28" i="1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I59" i="4" l="1"/>
  <c r="J59" i="4"/>
  <c r="AA31" i="8"/>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39" i="1"/>
  <c r="S39" i="1" s="1"/>
  <c r="I39" i="11"/>
  <c r="O39" i="7"/>
  <c r="AO40" i="1" l="1"/>
  <c r="B64" i="4"/>
  <c r="AA40" i="8"/>
  <c r="F44" i="4" s="1"/>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0" i="1"/>
  <c r="S40" i="1" s="1"/>
  <c r="V40" i="8"/>
  <c r="T40" i="8"/>
  <c r="W40" i="8" s="1"/>
  <c r="H41" i="1" l="1"/>
  <c r="AC41" i="7" s="1"/>
  <c r="B62" i="4"/>
  <c r="AA41" i="8"/>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AP41" i="1"/>
  <c r="T41" i="1" s="1"/>
  <c r="I42" i="1" s="1"/>
  <c r="AO42" i="1" s="1"/>
  <c r="J41" i="11"/>
  <c r="P41" i="7" s="1"/>
  <c r="I41" i="11"/>
  <c r="AA41" i="1"/>
  <c r="S41" i="1" s="1"/>
  <c r="H42" i="1" s="1"/>
  <c r="Z41" i="2" l="1"/>
  <c r="AA42" i="8" s="1"/>
  <c r="B42" i="8" s="1"/>
  <c r="AK42" i="5"/>
  <c r="C41" i="8"/>
  <c r="F41" i="9"/>
  <c r="BJ42" i="1"/>
  <c r="AC42" i="7"/>
  <c r="BI42" i="1"/>
  <c r="C42" i="11"/>
  <c r="AQ42" i="8"/>
  <c r="V42" i="10"/>
  <c r="Y41" i="2" l="1"/>
  <c r="X41" i="2" s="1"/>
  <c r="D42" i="2"/>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E64" i="8"/>
  <c r="BJ52" i="1"/>
  <c r="F51" i="9"/>
  <c r="P51" i="7"/>
  <c r="C51" i="8"/>
  <c r="CG64" i="8" l="1"/>
  <c r="M64" i="2"/>
  <c r="DF64" i="8"/>
  <c r="G64" i="1" s="1"/>
  <c r="N64" i="8" s="1"/>
  <c r="AA52" i="8"/>
  <c r="Y51" i="2"/>
  <c r="X51" i="2" s="1"/>
  <c r="B52" i="8" l="1"/>
  <c r="D52" i="2" s="1"/>
  <c r="P64" i="8"/>
  <c r="R64" i="8" s="1"/>
  <c r="E52" i="2"/>
  <c r="L52" i="2" s="1"/>
  <c r="AB52" i="7"/>
  <c r="AW52" i="8"/>
  <c r="H52" i="11"/>
  <c r="U52" i="2" l="1"/>
  <c r="W51" i="2" s="1"/>
  <c r="C52" i="2" l="1"/>
  <c r="F52" i="1" l="1"/>
  <c r="S52" i="8"/>
  <c r="V52" i="8" s="1"/>
  <c r="H52" i="1"/>
  <c r="F52" i="2"/>
  <c r="H52" i="2"/>
  <c r="I52" i="2"/>
  <c r="AA52" i="1" s="1"/>
  <c r="S52" i="1" s="1"/>
  <c r="BI52" i="1" l="1"/>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l="1"/>
  <c r="W80" i="2" s="1"/>
  <c r="P120" i="8"/>
  <c r="R120" i="8" s="1"/>
  <c r="DF121" i="8"/>
  <c r="G121" i="1" s="1"/>
  <c r="N121" i="8" s="1"/>
  <c r="M121" i="2"/>
  <c r="CG121" i="8"/>
  <c r="P121" i="8" s="1"/>
  <c r="E122" i="8"/>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l="1"/>
  <c r="W85" i="2" s="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l="1"/>
  <c r="W92" i="2" s="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l="1"/>
  <c r="W94" i="2" s="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l="1"/>
  <c r="W125" i="2" s="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l="1"/>
  <c r="W130" i="2" s="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<sst xmlns="http://schemas.openxmlformats.org/spreadsheetml/2006/main" count="3098" uniqueCount="1169">
  <si>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</si>
  <si>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</si>
  <si>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</si>
  <si>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</si>
  <si>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</si>
  <si>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</si>
  <si>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</si>
  <si>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</si>
  <si>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</si>
  <si>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</si>
  <si>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</si>
  <si>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</si>
  <si>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</si>
  <si>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</si>
  <si>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</si>
  <si>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</si>
  <si>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</si>
  <si>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</si>
  <si>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</si>
  <si>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</si>
  <si>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</si>
  <si>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</si>
  <si>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</si>
  <si>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</si>
  <si>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</si>
  <si>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</si>
  <si>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</si>
  <si>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</si>
  <si>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</si>
  <si>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</si>
  <si>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</si>
  <si>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</si>
  <si>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</si>
  <si>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</si>
  <si>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</si>
  <si>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</si>
  <si>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</si>
  <si>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</si>
  <si>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</si>
  <si>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</si>
  <si>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</si>
  <si>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</si>
  <si>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</si>
  <si>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</si>
  <si>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</si>
  <si>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</si>
  <si>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</si>
  <si>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</si>
  <si>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</si>
  <si>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</si>
  <si>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</si>
  <si>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</si>
  <si>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</si>
  <si>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</si>
  <si>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</si>
  <si>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</si>
  <si>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</si>
  <si>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</si>
  <si>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</si>
  <si>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</si>
  <si>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</si>
  <si>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</si>
  <si>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</si>
  <si>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</si>
  <si>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</si>
  <si>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</si>
  <si>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</si>
  <si>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</si>
  <si>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</si>
  <si>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</si>
  <si>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</si>
  <si>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</si>
  <si>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</si>
  <si>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</si>
  <si>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</si>
  <si>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</si>
  <si>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</si>
  <si>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</si>
  <si>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</si>
  <si>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</si>
  <si>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</si>
  <si>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</si>
  <si>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</si>
  <si>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</si>
  <si>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</si>
  <si>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</si>
  <si>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</si>
  <si>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</si>
  <si>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</si>
  <si>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</si>
  <si>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</si>
  <si>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</si>
  <si>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</si>
  <si>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</si>
  <si>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</si>
  <si>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</si>
  <si>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</si>
  <si>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</si>
  <si>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</si>
  <si>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</si>
  <si>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</si>
  <si>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</si>
  <si>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</si>
  <si>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</si>
  <si>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</si>
  <si>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</si>
  <si>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</si>
  <si>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</si>
  <si>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</si>
  <si>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</si>
  <si>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</si>
  <si>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</si>
  <si>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</si>
  <si>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</si>
  <si>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</si>
  <si>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</si>
  <si>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</si>
  <si>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</si>
  <si>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</si>
  <si>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</si>
  <si>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</si>
  <si>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</si>
  <si>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</si>
  <si>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</si>
  <si>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</si>
  <si>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</si>
  <si>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</si>
  <si>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</si>
  <si>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</si>
  <si>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</si>
  <si>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</si>
  <si>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</si>
  <si>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</si>
  <si>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</si>
  <si>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</si>
  <si>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</si>
  <si>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</si>
  <si>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</si>
  <si>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</si>
  <si>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</si>
  <si>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</si>
  <si>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</si>
  <si>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</si>
  <si>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</si>
  <si>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</si>
  <si>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</si>
  <si>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</si>
  <si>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</si>
  <si>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</si>
  <si>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</si>
  <si>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</si>
  <si>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</si>
  <si>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</si>
  <si>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</si>
  <si>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</si>
  <si>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</si>
  <si>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</si>
  <si>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</si>
  <si>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</si>
  <si>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</si>
  <si>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</si>
  <si>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</si>
  <si>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</si>
  <si>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</si>
  <si>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</si>
  <si>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</si>
  <si>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</si>
  <si>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</si>
  <si>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</si>
  <si>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</si>
  <si>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</si>
  <si>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</si>
  <si>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</si>
  <si>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</si>
  <si>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</si>
  <si>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</si>
  <si>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</si>
  <si>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</si>
  <si>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</si>
  <si>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</si>
  <si>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</si>
  <si>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</si>
  <si>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</si>
  <si>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</si>
  <si>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</si>
  <si>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</si>
  <si>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</si>
  <si>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</si>
  <si>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</si>
  <si>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</si>
  <si>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</si>
  <si>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</si>
  <si>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</si>
  <si>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</si>
  <si>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</si>
  <si>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</si>
  <si>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</si>
  <si>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</si>
  <si>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</si>
  <si>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</si>
  <si>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</si>
  <si>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</si>
  <si>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</si>
  <si>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</si>
  <si>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</si>
  <si>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</si>
  <si>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</si>
  <si>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</si>
  <si>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</si>
  <si>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</si>
  <si>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</si>
  <si>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</si>
  <si>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</si>
  <si>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</si>
  <si>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</si>
  <si>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</si>
  <si>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</si>
  <si>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</si>
  <si>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</si>
  <si>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</si>
  <si>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</si>
  <si>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</si>
  <si>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</si>
  <si>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</si>
  <si>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</si>
  <si>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</si>
  <si>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</si>
  <si>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</si>
  <si>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</si>
  <si>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</si>
  <si>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</si>
  <si>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</si>
  <si>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</si>
  <si>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</si>
  <si>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</si>
  <si>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</si>
  <si>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</si>
  <si>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</si>
  <si>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</si>
  <si>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</si>
  <si>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</si>
  <si>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</si>
  <si>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</si>
  <si>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</si>
  <si>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</si>
  <si>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</si>
  <si>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</si>
  <si>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</si>
  <si>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</si>
  <si>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</si>
  <si>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</si>
  <si>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</si>
  <si>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</si>
  <si>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</si>
  <si>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</si>
  <si>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</si>
  <si>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</si>
  <si>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</si>
  <si>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</si>
  <si>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</si>
  <si>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</si>
  <si>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</si>
  <si>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</si>
  <si>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</si>
  <si>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</si>
  <si>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</si>
  <si>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</si>
  <si>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</si>
  <si>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</si>
  <si>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</si>
  <si>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</si>
  <si>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</si>
  <si>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</si>
  <si>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</si>
  <si>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</si>
  <si>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</si>
  <si>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</si>
  <si>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</si>
  <si>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</si>
  <si>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</si>
  <si>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</si>
  <si>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</si>
  <si>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</si>
  <si>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</si>
  <si>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</si>
  <si>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</si>
  <si>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</si>
  <si>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</si>
  <si>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</si>
  <si>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</si>
  <si>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</si>
  <si>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</si>
  <si>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</si>
  <si>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</si>
  <si>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</si>
  <si>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</si>
  <si>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</si>
  <si>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</si>
  <si>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</si>
  <si>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</si>
  <si>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</si>
  <si>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</si>
  <si>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</si>
  <si>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</si>
  <si>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</si>
  <si>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</si>
  <si>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</si>
  <si>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</si>
  <si>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</si>
  <si>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</si>
  <si>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</si>
  <si>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</si>
  <si>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</si>
  <si>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</si>
  <si>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</si>
  <si>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</si>
  <si>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</si>
  <si>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</si>
  <si>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</si>
  <si>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</si>
  <si>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</si>
  <si>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</si>
  <si>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</si>
  <si>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</si>
  <si>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</si>
  <si>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</si>
  <si>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</si>
  <si>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</si>
  <si>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</si>
  <si>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</si>
  <si>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</si>
  <si>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</si>
  <si>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</si>
  <si>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</si>
  <si>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</si>
  <si>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</si>
  <si>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</si>
  <si>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</si>
  <si>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</si>
  <si>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</si>
  <si>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</si>
  <si>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</si>
  <si>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</si>
  <si>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</si>
  <si>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</si>
  <si>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</si>
  <si>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</si>
  <si>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</si>
  <si>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</si>
  <si>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</si>
  <si>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</si>
  <si>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</si>
  <si>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</si>
  <si>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</si>
  <si>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</si>
  <si>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</si>
  <si>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</si>
  <si>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</si>
  <si>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</si>
  <si>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</si>
  <si>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</si>
  <si>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</si>
  <si>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</si>
  <si>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</si>
  <si>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</si>
  <si>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</si>
  <si>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</si>
  <si>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</si>
  <si>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</si>
  <si>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</si>
  <si>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</si>
  <si>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</si>
  <si>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</si>
  <si>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</si>
  <si>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</si>
  <si>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</si>
  <si>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</si>
  <si>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</si>
  <si>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</si>
  <si>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</si>
  <si>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</si>
  <si>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</si>
  <si>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</si>
  <si>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</si>
  <si>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</si>
  <si>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</si>
  <si>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</si>
  <si>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</si>
  <si>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</si>
  <si>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</si>
  <si>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</si>
  <si>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</si>
  <si>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</si>
  <si>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</si>
  <si>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</si>
  <si>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</si>
  <si>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</si>
  <si>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</si>
  <si>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</si>
  <si>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</si>
  <si>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</si>
  <si>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</si>
  <si>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</si>
  <si>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</si>
  <si>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</si>
  <si>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</si>
  <si>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</si>
  <si>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</si>
  <si>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</si>
  <si>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</si>
  <si>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</si>
  <si>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</si>
  <si>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</si>
  <si>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</si>
  <si>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</si>
  <si>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</si>
  <si>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</si>
  <si>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</si>
  <si>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</si>
  <si>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</si>
  <si>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</si>
  <si>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</si>
  <si>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</si>
  <si>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</si>
  <si>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</si>
  <si>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</si>
  <si>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</si>
  <si>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</si>
  <si>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</si>
  <si>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</si>
  <si>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</si>
  <si>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</si>
  <si>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</si>
  <si>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</si>
  <si>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</si>
  <si>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</si>
  <si>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</si>
  <si>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</si>
  <si>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</si>
  <si>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</si>
  <si>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</si>
  <si>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</si>
  <si>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</si>
  <si>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</si>
  <si>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</si>
  <si>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</si>
  <si>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</si>
  <si>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</si>
  <si>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</si>
  <si>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</si>
  <si>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</si>
  <si>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</si>
  <si>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</si>
  <si>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</si>
  <si>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</si>
  <si>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</si>
  <si>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</si>
  <si>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</si>
  <si>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</si>
  <si>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</si>
  <si>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</si>
  <si>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</si>
  <si>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</si>
  <si>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</si>
  <si>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</si>
  <si>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</si>
  <si>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</si>
  <si>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</si>
  <si>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</si>
  <si>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</si>
  <si>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</si>
  <si>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</si>
  <si>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</si>
  <si>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</si>
  <si>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</si>
  <si>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</si>
  <si>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</si>
  <si>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</si>
  <si>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</si>
  <si>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</si>
  <si>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</si>
  <si>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</si>
  <si>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</si>
  <si>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</si>
  <si>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</si>
  <si>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</si>
  <si>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</si>
  <si>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</si>
  <si>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</si>
  <si>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</si>
  <si>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</si>
  <si>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</si>
  <si>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</si>
  <si>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</si>
  <si>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</si>
  <si>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</si>
  <si>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</si>
  <si>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</si>
  <si>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</si>
  <si>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</si>
  <si>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</si>
  <si>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</si>
  <si>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</si>
  <si>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</si>
  <si>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</si>
  <si>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</si>
  <si>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</si>
  <si>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</si>
  <si>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</si>
  <si>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</si>
  <si>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</si>
  <si>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</si>
  <si>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</si>
  <si>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</si>
  <si>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</si>
  <si>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</si>
  <si>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</si>
  <si>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</si>
  <si>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</si>
  <si>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</si>
  <si>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</si>
  <si>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</si>
  <si>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</si>
  <si>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</si>
  <si>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</si>
  <si>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</si>
  <si>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</si>
  <si>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</si>
  <si>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</si>
  <si>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</si>
  <si>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</si>
  <si>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</si>
  <si>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</si>
  <si>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</si>
  <si>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</si>
  <si>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</si>
  <si>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</si>
  <si>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</si>
  <si>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</si>
  <si>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</si>
  <si>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</si>
  <si>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</si>
  <si>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</si>
  <si>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</si>
  <si>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</si>
  <si>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</si>
  <si>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</si>
  <si>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</si>
  <si>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</si>
  <si>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</si>
  <si>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</si>
  <si>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</si>
  <si>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</si>
  <si>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</si>
  <si>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</si>
  <si>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</si>
  <si>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</si>
  <si>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</si>
  <si>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</si>
  <si>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</si>
  <si>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</si>
  <si>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</si>
  <si>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</si>
  <si>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</si>
  <si>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</si>
  <si>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</si>
  <si>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</si>
  <si>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</si>
  <si>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</si>
  <si>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</si>
  <si>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</si>
  <si>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</si>
  <si>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</si>
  <si>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</si>
  <si>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</si>
  <si>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</si>
  <si>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</si>
  <si>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</si>
  <si>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</si>
  <si>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</si>
  <si>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</si>
  <si>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</si>
  <si>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</si>
  <si>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</si>
  <si>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</si>
  <si>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</si>
  <si>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</si>
  <si>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</si>
  <si>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</si>
  <si>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</si>
  <si>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</si>
  <si>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</si>
  <si>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</si>
  <si>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</si>
  <si>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</si>
  <si>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</si>
  <si>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</si>
  <si>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</si>
  <si>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</si>
  <si>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</si>
  <si>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</si>
  <si>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</si>
  <si>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</si>
  <si>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</si>
  <si>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</si>
  <si>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</si>
  <si>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</si>
  <si>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</si>
  <si>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</si>
  <si>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</si>
  <si>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</si>
  <si>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</si>
  <si>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</si>
  <si>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</si>
  <si>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</si>
  <si>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</si>
  <si>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</si>
  <si>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</si>
  <si>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</si>
  <si>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</si>
  <si>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</si>
  <si>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</si>
  <si>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</si>
  <si>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</si>
  <si>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</si>
  <si>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</si>
  <si>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</si>
  <si>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</si>
  <si>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</si>
  <si>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</si>
  <si>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</si>
  <si>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</si>
  <si>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</si>
  <si>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</si>
  <si>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</si>
  <si>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</si>
  <si>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</si>
  <si>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</si>
  <si>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</si>
  <si>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</si>
  <si>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</si>
  <si>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</si>
  <si>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</si>
  <si>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</si>
  <si>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</si>
  <si>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</si>
  <si>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</si>
  <si>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</si>
  <si>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</si>
  <si>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</si>
  <si>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</si>
  <si>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</si>
  <si>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</si>
  <si>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</si>
  <si>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</si>
  <si>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</si>
  <si>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</si>
  <si>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</si>
  <si>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</si>
  <si>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</si>
  <si>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</si>
  <si>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</si>
  <si>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</si>
  <si>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</si>
  <si>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</si>
  <si>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</si>
  <si>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</si>
  <si>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</si>
  <si>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</si>
  <si>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</si>
  <si>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</si>
  <si>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</si>
  <si>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</si>
  <si>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</si>
  <si>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</si>
  <si>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</si>
  <si>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</si>
  <si>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</si>
  <si>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</si>
  <si>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</si>
  <si>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</si>
  <si>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</si>
  <si>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</si>
  <si>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</si>
  <si>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</si>
  <si>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</si>
  <si>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</si>
  <si>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</si>
  <si>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</si>
  <si>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</si>
  <si>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</si>
  <si>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</si>
  <si>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</si>
  <si>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</si>
  <si>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</si>
  <si>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</si>
  <si>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</si>
  <si>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</si>
  <si>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</si>
  <si>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</si>
  <si>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</si>
  <si>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</si>
  <si>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</si>
  <si>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</si>
  <si>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</si>
  <si>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</si>
  <si>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</si>
  <si>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</si>
  <si>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</si>
  <si>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</si>
  <si>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</si>
  <si>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</si>
  <si>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</si>
  <si>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</si>
  <si>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</si>
  <si>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</si>
  <si>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</si>
  <si>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</si>
  <si>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</si>
  <si>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</si>
  <si>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</si>
  <si>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</si>
  <si>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</si>
  <si>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</si>
  <si>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</si>
  <si>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</si>
  <si>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</si>
  <si>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</si>
  <si>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</si>
  <si>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</si>
  <si>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</si>
  <si>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</si>
  <si>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</si>
  <si>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</si>
  <si>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</si>
  <si>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</si>
  <si>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</si>
  <si>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</si>
  <si>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</si>
  <si>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</si>
  <si>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</si>
  <si>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</si>
  <si>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</si>
  <si>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</si>
  <si>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</si>
  <si>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</si>
  <si>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</si>
  <si>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</si>
  <si>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</si>
  <si>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</si>
  <si>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</si>
  <si>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</si>
  <si>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</si>
  <si>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</si>
  <si>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</si>
  <si>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</si>
  <si>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</si>
  <si>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</si>
  <si>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</si>
  <si>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</si>
  <si>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</si>
  <si>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</si>
  <si>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</si>
  <si>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</si>
  <si>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</si>
  <si>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</si>
  <si>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</si>
  <si>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</si>
  <si>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</si>
  <si>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</si>
  <si>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</si>
  <si>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</si>
  <si>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</si>
  <si>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</si>
  <si>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</si>
  <si>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</si>
  <si>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</si>
  <si>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</si>
  <si>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</si>
  <si>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</si>
  <si>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</si>
  <si>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</si>
  <si>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</si>
  <si>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</si>
  <si>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</si>
  <si>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</si>
  <si>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</si>
  <si>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</si>
  <si>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</si>
  <si>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</si>
  <si>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</si>
  <si>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</si>
  <si>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</si>
  <si>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</si>
  <si>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</si>
  <si>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</si>
  <si>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</si>
  <si>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</si>
  <si>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</si>
  <si>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</si>
  <si>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</si>
  <si>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</si>
  <si>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</si>
  <si>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</si>
  <si>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</si>
  <si>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</si>
  <si>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</si>
  <si>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</si>
  <si>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</si>
  <si>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</si>
  <si>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</si>
  <si>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</si>
  <si>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</si>
  <si>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</si>
  <si>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</si>
  <si>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</si>
  <si>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</si>
  <si>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</si>
  <si>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</si>
  <si>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</si>
  <si>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</si>
  <si>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</si>
  <si>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</si>
  <si>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</si>
  <si>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</si>
  <si>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</si>
  <si>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</si>
  <si>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</si>
  <si>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</si>
  <si>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</si>
  <si>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</si>
  <si>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</si>
  <si>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</si>
  <si>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</si>
  <si>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</si>
  <si>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</si>
  <si>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</si>
  <si>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</si>
  <si>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</si>
  <si>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</si>
  <si>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</si>
  <si>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</si>
  <si>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</si>
  <si>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</si>
  <si>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</si>
  <si>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</si>
  <si>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</si>
  <si>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</si>
  <si>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</si>
  <si>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</si>
  <si>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</si>
  <si>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</si>
  <si>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</si>
  <si>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</si>
  <si>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</si>
  <si>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</si>
  <si>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</si>
  <si>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</si>
  <si>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</si>
  <si>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</si>
  <si>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</si>
  <si>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</si>
  <si>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</si>
  <si>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</si>
  <si>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</si>
  <si>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</si>
  <si>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</si>
  <si>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</si>
  <si>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</si>
  <si>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</si>
  <si>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</si>
  <si>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</si>
  <si>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</si>
  <si>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</si>
  <si>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</si>
  <si>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</si>
  <si>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</si>
  <si>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</si>
  <si>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</si>
  <si>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</si>
  <si>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</si>
  <si>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</si>
  <si>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</si>
  <si>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</si>
  <si>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</si>
  <si>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</si>
  <si>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</si>
  <si>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</si>
  <si>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</si>
  <si>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</si>
  <si>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</si>
  <si>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</si>
  <si>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</si>
  <si>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</si>
  <si>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</si>
  <si>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</si>
  <si>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</si>
  <si>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</si>
  <si>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</si>
  <si>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</si>
  <si>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</si>
  <si>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</si>
  <si>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</si>
  <si>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</si>
  <si>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</si>
  <si>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</si>
  <si>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</si>
  <si>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</si>
  <si>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</si>
  <si>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</si>
  <si>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</si>
  <si>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</si>
  <si>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</si>
  <si>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</si>
  <si>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</si>
  <si>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</si>
  <si>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</si>
  <si>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</si>
  <si>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</si>
  <si>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</si>
  <si>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</si>
  <si>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</si>
  <si>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</si>
  <si>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</si>
  <si>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</si>
  <si>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</si>
  <si>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</si>
  <si>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</si>
  <si>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</si>
  <si>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</si>
  <si>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</si>
  <si>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</si>
  <si>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</si>
  <si>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</si>
  <si>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</si>
  <si>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</si>
  <si>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</si>
  <si>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</si>
  <si>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</si>
  <si>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</si>
  <si>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</si>
  <si>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</si>
  <si>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</si>
  <si>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</si>
  <si>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</si>
  <si>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</si>
  <si>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</si>
  <si>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</si>
  <si>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</si>
  <si>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</si>
  <si>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</si>
  <si>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</si>
  <si>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</si>
  <si>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</si>
  <si>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</si>
  <si>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</si>
  <si>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</si>
  <si>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</si>
  <si>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</si>
  <si>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</si>
  <si>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</si>
  <si>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</si>
  <si>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</si>
  <si>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</si>
  <si>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</si>
  <si>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</si>
  <si>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</si>
  <si>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</si>
  <si>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</si>
  <si>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</si>
  <si>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</si>
  <si>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</si>
  <si>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</si>
  <si>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</si>
  <si>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</si>
  <si>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</si>
  <si>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</si>
  <si>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</si>
  <si>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</si>
  <si>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</si>
  <si>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</si>
  <si>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</si>
  <si>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</si>
  <si>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</si>
  <si>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</si>
  <si>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</si>
  <si>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</si>
  <si>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</si>
  <si>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</si>
  <si>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</si>
  <si>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</si>
  <si>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</si>
  <si>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</si>
  <si>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</si>
  <si>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</si>
  <si>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</si>
  <si>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</si>
  <si>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</si>
  <si>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</si>
  <si>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</si>
  <si>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</si>
  <si>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</si>
  <si>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</si>
  <si>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</si>
  <si>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</si>
  <si>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</si>
  <si>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</si>
  <si>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</si>
  <si>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</si>
  <si>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</si>
  <si>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</si>
  <si>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</si>
  <si>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</si>
  <si>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</si>
  <si>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</si>
  <si>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</si>
  <si>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</si>
  <si>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</si>
  <si>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</si>
  <si>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</si>
  <si>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</si>
  <si>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</si>
  <si>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</si>
  <si>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</si>
  <si>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</si>
  <si>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</si>
  <si>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</si>
  <si>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</si>
  <si>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</si>
  <si>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</si>
  <si>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</si>
  <si>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</si>
  <si>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</si>
  <si>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</si>
  <si>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</si>
  <si>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</si>
  <si>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</si>
  <si>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</si>
  <si>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</si>
  <si>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</si>
  <si>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</si>
  <si>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</si>
  <si>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</si>
  <si>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</si>
  <si>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</si>
  <si>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</si>
  <si>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</si>
  <si>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</si>
  <si>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</si>
  <si>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</si>
  <si>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</si>
  <si>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</si>
  <si>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</si>
  <si>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</si>
  <si>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</si>
  <si>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</si>
  <si>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</si>
  <si>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</si>
  <si>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</si>
  <si>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</si>
  <si>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</si>
  <si>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</si>
  <si>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</si>
  <si>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</si>
  <si>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</si>
  <si>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</si>
  <si>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</si>
  <si>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</si>
  <si>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</si>
  <si>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</si>
  <si>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</si>
  <si>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</si>
  <si>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</si>
  <si>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</si>
  <si>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</si>
  <si>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</si>
  <si>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</si>
  <si>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</si>
  <si>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</si>
  <si>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</si>
  <si>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</si>
  <si>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</si>
  <si>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</si>
  <si>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</si>
  <si>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</si>
  <si>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</si>
  <si>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</si>
  <si>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</si>
  <si>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</si>
  <si>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</si>
  <si>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</si>
  <si>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</si>
  <si>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</si>
  <si>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</si>
  <si>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</si>
  <si>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</si>
  <si>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</si>
  <si>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</si>
  <si>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</si>
  <si>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</si>
  <si>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</si>
  <si>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</si>
  <si>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</si>
  <si>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</si>
  <si>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</si>
  <si>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</si>
  <si>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</si>
  <si>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</si>
  <si>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</si>
  <si>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</si>
  <si>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</si>
  <si>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</si>
  <si>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</si>
  <si>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</si>
  <si>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</si>
  <si>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</si>
  <si>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</si>
  <si>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</si>
  <si>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</si>
  <si>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</si>
  <si>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</si>
  <si>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</si>
  <si>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</si>
  <si>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</si>
  <si>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</si>
  <si>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</si>
  <si>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</si>
  <si>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</si>
  <si>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</si>
  <si>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</si>
  <si>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</si>
  <si>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</si>
  <si>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</si>
  <si>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</si>
  <si>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</si>
  <si>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</si>
  <si>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</si>
  <si>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</si>
  <si>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</si>
  <si>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</si>
  <si>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</si>
  <si>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</si>
  <si>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</si>
  <si>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</si>
  <si>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</si>
  <si>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</si>
  <si>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</si>
  <si>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</si>
  <si>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</si>
  <si>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</si>
  <si>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</si>
  <si>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</si>
  <si>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</si>
  <si>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</si>
  <si>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</si>
  <si>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</si>
  <si>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</si>
  <si>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</si>
  <si>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</si>
  <si>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</si>
  <si>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</si>
  <si>
    <r>
      <t xml:space="preserve">You have </t>
    </r>
    <r>
      <rPr>
        <b/>
        <sz val="10"/>
        <rFont val="Arial"/>
        <family val="2"/>
      </rPr>
      <t>500</t>
    </r>
    <r>
      <rPr>
        <sz val="10"/>
        <rFont val="Arial"/>
        <family val="2"/>
      </rPr>
      <t xml:space="preserve"> starting acres to construct:</t>
    </r>
  </si>
  <si>
    <t>Infernal Command OP</t>
  </si>
  <si>
    <t>Infernal Command</t>
  </si>
  <si>
    <t>Active Infernal Command</t>
  </si>
  <si>
    <t>forges per alchemy</t>
  </si>
  <si>
    <t>FW5</t>
  </si>
  <si>
    <t>FW Spell</t>
  </si>
  <si>
    <t>OD Round 49 QuickStart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</si>
</sst>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7">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ill>
        <patternFill>
          <bgColor indexed="10"/>
        </patternFill>
      </fill>
    </dxf>
    <dxf>
      <fill>
        <patternFill>
          <bgColor indexed="29"/>
        </patternFill>
      </fill>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6"/>
      <tableStyleElement type="headerRow" dxfId="1025"/>
      <tableStyleElement type="totalRow" dxfId="1024"/>
      <tableStyleElement type="firstColumn" dxfId="1023"/>
      <tableStyleElement type="lastColumn" dxfId="1022"/>
      <tableStyleElement type="firstRowStripe" dxfId="1021"/>
      <tableStyleElement type="secondRowStripe" dxfId="1020"/>
      <tableStyleElement type="firstColumnStripe" dxfId="1019"/>
    </tableStyle>
    <tableStyle name="TableStyleLight1 3" pivot="0" count="8" xr9:uid="{40048D91-B7B4-48AD-ADA3-F7B5F24E3A0B}">
      <tableStyleElement type="wholeTable" dxfId="1018"/>
      <tableStyleElement type="headerRow" dxfId="1017"/>
      <tableStyleElement type="totalRow" dxfId="1016"/>
      <tableStyleElement type="firstColumn" dxfId="1015"/>
      <tableStyleElement type="lastColumn" dxfId="1014"/>
      <tableStyleElement type="firstRowStripe" dxfId="1013"/>
      <tableStyleElement type="secondRowStripe" dxfId="1012"/>
      <tableStyleElement type="firstColumnStripe" dxfId="1011"/>
    </tableStyle>
    <tableStyle name="TableStyleLight1 3 2" pivot="0" count="8" xr9:uid="{C5C8B11A-65E1-47E8-8B6A-A638EA763C9D}">
      <tableStyleElement type="wholeTable" dxfId="1010"/>
      <tableStyleElement type="headerRow" dxfId="1009"/>
      <tableStyleElement type="totalRow" dxfId="1008"/>
      <tableStyleElement type="firstColumn" dxfId="1007"/>
      <tableStyleElement type="lastColumn" dxfId="1006"/>
      <tableStyleElement type="firstRowStripe" dxfId="1005"/>
      <tableStyleElement type="secondRowStripe" dxfId="1004"/>
      <tableStyleElement type="firstColumnStripe" dxfId="1003"/>
    </tableStyle>
    <tableStyle name="TableStyleLight1 4" pivot="0" count="8" xr9:uid="{879439EA-876F-405F-B69E-85273FF10F93}">
      <tableStyleElement type="wholeTable" dxfId="1002"/>
      <tableStyleElement type="headerRow" dxfId="1001"/>
      <tableStyleElement type="totalRow" dxfId="1000"/>
      <tableStyleElement type="firstColumn" dxfId="999"/>
      <tableStyleElement type="lastColumn" dxfId="998"/>
      <tableStyleElement type="firstRowStripe" dxfId="997"/>
      <tableStyleElement type="secondRowStripe" dxfId="996"/>
      <tableStyleElement type="firstColumnStripe" dxfId="995"/>
    </tableStyle>
    <tableStyle name="TableStyleLight1 4 2" pivot="0" count="8" xr9:uid="{A2A787F1-3FC0-4774-93F6-6F67EEF4DC05}">
      <tableStyleElement type="wholeTable" dxfId="994"/>
      <tableStyleElement type="headerRow" dxfId="993"/>
      <tableStyleElement type="totalRow" dxfId="992"/>
      <tableStyleElement type="firstColumn" dxfId="991"/>
      <tableStyleElement type="lastColumn" dxfId="990"/>
      <tableStyleElement type="firstRowStripe" dxfId="989"/>
      <tableStyleElement type="secondRowStripe" dxfId="988"/>
      <tableStyleElement type="firstColumnStripe" dxfId="987"/>
    </tableStyle>
    <tableStyle name="TableStyleLight1 5" pivot="0" count="8" xr9:uid="{CB689928-D93B-4088-A9C6-560B4B9C5E75}">
      <tableStyleElement type="wholeTable" dxfId="986"/>
      <tableStyleElement type="headerRow" dxfId="985"/>
      <tableStyleElement type="totalRow" dxfId="984"/>
      <tableStyleElement type="firstColumn" dxfId="983"/>
      <tableStyleElement type="lastColumn" dxfId="982"/>
      <tableStyleElement type="firstRowStripe" dxfId="981"/>
      <tableStyleElement type="secondRowStripe" dxfId="980"/>
      <tableStyleElement type="firstColumnStripe" dxfId="979"/>
    </tableStyle>
    <tableStyle name="TableStyleLight1 5 2" pivot="0" count="8" xr9:uid="{7B8F54C5-86FC-4F37-89FD-016FBCC24E05}">
      <tableStyleElement type="wholeTable" dxfId="978"/>
      <tableStyleElement type="headerRow" dxfId="977"/>
      <tableStyleElement type="totalRow" dxfId="976"/>
      <tableStyleElement type="firstColumn" dxfId="975"/>
      <tableStyleElement type="lastColumn" dxfId="974"/>
      <tableStyleElement type="firstRowStripe" dxfId="973"/>
      <tableStyleElement type="secondRowStripe" dxfId="972"/>
      <tableStyleElement type="firstColumnStripe" dxfId="971"/>
    </tableStyle>
    <tableStyle name="TableStyleLight1 5 2 2" pivot="0" count="8" xr9:uid="{03577705-4D4B-4BC8-BE21-E9B4AACE52E1}">
      <tableStyleElement type="wholeTable" dxfId="970"/>
      <tableStyleElement type="headerRow" dxfId="969"/>
      <tableStyleElement type="totalRow" dxfId="968"/>
      <tableStyleElement type="firstColumn" dxfId="967"/>
      <tableStyleElement type="lastColumn" dxfId="966"/>
      <tableStyleElement type="firstRowStripe" dxfId="965"/>
      <tableStyleElement type="secondRowStripe" dxfId="964"/>
      <tableStyleElement type="firstColumnStripe" dxfId="963"/>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62" dataDxfId="961">
  <tableColumns count="6">
    <tableColumn id="1" xr3:uid="{00000000-0010-0000-0000-000001000000}" name="Unit Names" headerRowDxfId="960" dataDxfId="959">
      <calculatedColumnFormula>_xlfn.SINGLE(INDEX(TblRaces[],MATCH(race,TblRaces[Race],0),4))</calculatedColumnFormula>
    </tableColumn>
    <tableColumn id="2" xr3:uid="{00000000-0010-0000-0000-000002000000}" name="Offense" headerRowDxfId="958" dataDxfId="957">
      <calculatedColumnFormula>_xlfn.IFNA(INDEX(TblRaces[],MATCH(TblUnits[[#This Row],[Unit Names]],TblRaces[Unitname],0),5),"")</calculatedColumnFormula>
    </tableColumn>
    <tableColumn id="3" xr3:uid="{00000000-0010-0000-0000-000003000000}" name="Defense" headerRowDxfId="956" dataDxfId="955">
      <calculatedColumnFormula>_xlfn.IFNA(INDEX(TblRaces[],MATCH(TblUnits[[#This Row],[Unit Names]],TblRaces[Unitname],0),6),"")</calculatedColumnFormula>
    </tableColumn>
    <tableColumn id="4" xr3:uid="{00000000-0010-0000-0000-000004000000}" name="Platinum" headerRowDxfId="954" dataDxfId="953">
      <calculatedColumnFormula>_xlfn.IFNA(INDEX(TblRaces[],MATCH(TblUnits[[#This Row],[Unit Names]],TblRaces[Unitname],0),7),"")</calculatedColumnFormula>
    </tableColumn>
    <tableColumn id="5" xr3:uid="{00000000-0010-0000-0000-000005000000}" name="Ore" headerRowDxfId="952" dataDxfId="951">
      <calculatedColumnFormula>_xlfn.IFNA(INDEX(TblRaces[],MATCH(TblUnits[[#This Row],[Unit Names]],TblRaces[Unitname],0),8),"")</calculatedColumnFormula>
    </tableColumn>
    <tableColumn id="6" xr3:uid="{00000000-0010-0000-0000-000006000000}" name="Networth" headerRowDxfId="950" dataDxfId="94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48" dataDxfId="946" headerRowBorderDxfId="947" tableBorderDxfId="945">
  <autoFilter ref="H15:I33" xr:uid="{6EDA5300-DB26-4799-A5D1-5432AC102827}">
    <filterColumn colId="0" hiddenButton="1"/>
    <filterColumn colId="1" hiddenButton="1"/>
  </autoFilter>
  <tableColumns count="2">
    <tableColumn id="1" xr3:uid="{C93253AD-A598-462C-985D-E538FB5404AF}" name="Race Bonuses" dataDxfId="944"/>
    <tableColumn id="2" xr3:uid="{7301230A-1354-4459-BA19-9D8AE9608978}" name="Bonus" dataDxfId="94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42" dataDxfId="941" tableBorderDxfId="940">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39"/>
    <tableColumn id="2" xr3:uid="{F7BA9D3F-F979-435F-AF55-B8562C7F08C8}" name=" " dataDxfId="938"/>
    <tableColumn id="3" xr3:uid="{C661B1D0-1EAD-42B7-889A-9265EA75CB1D}" name="Offense" dataDxfId="937"/>
    <tableColumn id="4" xr3:uid="{594F8FE6-285D-432D-AB90-DE26655C8963}" name="Bonus" dataDxfId="936"/>
    <tableColumn id="5" xr3:uid="{1A4EBEB0-1016-4D5D-920D-08D8AD7AFC97}" name="OP Mod" dataDxfId="935"/>
    <tableColumn id="6" xr3:uid="{0A455978-2417-4AD7-8969-95433ADAC6F4}" name="Defense" dataDxfId="934"/>
    <tableColumn id="7" xr3:uid="{3C4FEC10-2BEB-4EC0-AA98-F67CC8DBE5B5}" name="DP Bonus" dataDxfId="933"/>
    <tableColumn id="8" xr3:uid="{9CE669CC-5E7B-4E7B-8FFE-265EB626E935}" name="DP Mod" dataDxfId="932"/>
    <tableColumn id="9" xr3:uid="{7DE0C022-18E9-48B5-8835-9B63E8CC1CDF}" name="." dataDxfId="93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30" dataDxfId="928" headerRowBorderDxfId="929" tableBorderDxfId="927">
  <autoFilter ref="H50:J54" xr:uid="{86CCA094-2F84-4D6A-BB34-AED37B4839D4}">
    <filterColumn colId="0" hiddenButton="1"/>
    <filterColumn colId="1" hiddenButton="1"/>
    <filterColumn colId="2" hiddenButton="1"/>
  </autoFilter>
  <tableColumns count="3">
    <tableColumn id="1" xr3:uid="{E0152EC7-4145-4063-BAB4-B6301A014F4B}" name="Type" dataDxfId="926"/>
    <tableColumn id="2" xr3:uid="{FAE1A1FE-F8EC-48F0-A8AF-ADF4B1F44E93}" name="Raw" dataDxfId="925"/>
    <tableColumn id="3" xr3:uid="{AFD4C97E-F124-4CC9-8087-32A6EB65C3D5}" name="Modded" dataDxfId="92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23" dataDxfId="921" headerRowBorderDxfId="922" tableBorderDxfId="920">
  <autoFilter ref="H57:J60" xr:uid="{4A95BFF0-5AE4-4064-BA31-9F687E8E34BD}">
    <filterColumn colId="0" hiddenButton="1"/>
    <filterColumn colId="1" hiddenButton="1"/>
    <filterColumn colId="2" hiddenButton="1"/>
  </autoFilter>
  <tableColumns count="3">
    <tableColumn id="1" xr3:uid="{ACCDFB1C-E1AE-4F10-BB67-59F2B9780D01}" name="Hour" dataDxfId="919"/>
    <tableColumn id="2" xr3:uid="{277A266C-0AEF-4864-99C7-1E807FF68978}" name="Amount" dataDxfId="918"/>
    <tableColumn id="3" xr3:uid="{DD724D20-8039-4E15-A45D-F535D999ED97}" name="Without Training" dataDxfId="91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16" dataDxfId="915" totalsRowDxfId="913" tableBorderDxfId="914">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12" totalsRowDxfId="911"/>
    <tableColumn id="2" xr3:uid="{739DBC51-BC77-4631-B107-088DC25245EB}" name="Amount" totalsRowFunction="sum" dataDxfId="910" totalsRowDxfId="909"/>
    <tableColumn id="3" xr3:uid="{41BF49B0-731E-480A-A25D-802B4380182E}" name="Relative" totalsRowFunction="custom" totalsRowDxfId="90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907" dataDxfId="906" tableBorderDxfId="905">
  <autoFilter ref="D49:F72" xr:uid="{6C8ACB43-975F-416A-A510-CF883452891C}">
    <filterColumn colId="0" hiddenButton="1"/>
    <filterColumn colId="1" hiddenButton="1"/>
    <filterColumn colId="2" hiddenButton="1"/>
  </autoFilter>
  <tableColumns count="3">
    <tableColumn id="1" xr3:uid="{97F6A0D7-4C71-45E8-A9DA-F3DBEC3693D1}" name="Acres" dataDxfId="904"/>
    <tableColumn id="2" xr3:uid="{70370623-AE12-4AC1-B3BC-5FA6F33097E0}" name=" " dataDxfId="903"/>
    <tableColumn id="3" xr3:uid="{76F2AA18-B160-4225-A8AB-03D1370169AB}" name="   " dataDxfId="90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901" dataDxfId="899" headerRowBorderDxfId="900" tableBorderDxfId="898">
  <autoFilter ref="D14:E18" xr:uid="{AF658822-94AE-4FD8-9D6D-E660E1B5C629}">
    <filterColumn colId="0" hiddenButton="1"/>
    <filterColumn colId="1" hiddenButton="1"/>
  </autoFilter>
  <tableColumns count="2">
    <tableColumn id="1" xr3:uid="{EFD90BA2-CBAC-4BDB-9434-40FB9C2485F4}" name="Date&amp;Time" dataDxfId="897"/>
    <tableColumn id="2" xr3:uid="{CCEF9A0F-7383-4941-A440-9E2452942487}" name="." dataDxfId="89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95" dataDxfId="894" tableBorderDxfId="893">
  <autoFilter ref="K15:L34" xr:uid="{D133DF78-1AE9-48BB-91CA-D0AE4B36CC49}">
    <filterColumn colId="0" hiddenButton="1"/>
    <filterColumn colId="1" hiddenButton="1"/>
  </autoFilter>
  <tableColumns count="2">
    <tableColumn id="1" xr3:uid="{3C9ED756-1E7B-43BC-9693-67AD91370593}" name="Building" dataDxfId="892"/>
    <tableColumn id="2" xr3:uid="{1A5D6F48-D49E-4549-A12C-3D6329B8F5BF}" name="Amount" dataDxfId="891"/>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90" dataDxfId="889" totalsRowDxfId="88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87" totalsRowDxfId="886">
      <calculatedColumnFormula>TblRezone[[#This Row],[Hour]]</calculatedColumnFormula>
    </tableColumn>
    <tableColumn id="2" xr3:uid="{7657952B-D9DB-46FC-BD8D-612DECDC04FD}" name="Time" dataDxfId="885" totalsRowDxfId="884">
      <calculatedColumnFormula>TblImps[[#This Row],[Time]]</calculatedColumnFormula>
    </tableColumn>
    <tableColumn id="3" xr3:uid="{767542B9-4E58-42E2-85BA-5C1DB6108363}" name="Peasants" dataDxfId="883">
      <calculatedColumnFormula>OFFSET(TblPop[[#This Row],[Peasants]],-1,0)+OFFSET(TblPop[[#This Row],[Net Peasant]],-1,0)+TblMili[[#This Row],[Release Draft]]</calculatedColumnFormula>
    </tableColumn>
    <tableColumn id="4" xr3:uid="{F5DC2705-5767-4AD0-A2E0-E36086D164C0}" name="Military" dataDxfId="882" totalsRowDxfId="881">
      <calculatedColumnFormula>TblMili[[#This Row],[Military]]</calculatedColumnFormula>
    </tableColumn>
    <tableColumn id="5" xr3:uid="{57E397CE-6C2C-48AE-9B2E-52E14099EAFC}" name="Draftees" dataDxfId="880" totalsRowDxfId="879">
      <calculatedColumnFormula>TblMili[[#This Row],[Draftees]]</calculatedColumnFormula>
    </tableColumn>
    <tableColumn id="6" xr3:uid="{7339086D-8AEE-45A5-B78D-EA6FDBA34E10}" name="Total" dataDxfId="878" totalsRowDxfId="877">
      <calculatedColumnFormula>TblPop[[#This Row],[Peasants]]+TblPop[[#This Row],[Military]]</calculatedColumnFormula>
    </tableColumn>
    <tableColumn id="7" xr3:uid="{75D92B6D-F4CA-42F7-80B3-4BF8A336E69C}" name="Military%" dataDxfId="876" totalsRowDxfId="875" dataCellStyle="Percent">
      <calculatedColumnFormula>TblPop[[#This Row],[Military]]/TblPop[[#This Row],[Total]]</calculatedColumnFormula>
    </tableColumn>
    <tableColumn id="8" xr3:uid="{257C6438-3205-4A45-9F91-ACD066CD59E8}" name="Employed" dataDxfId="874" totalsRowDxfId="873" dataCellStyle="Percent">
      <calculatedColumnFormula>MIN(TblPop[[#This Row],[Peasants]],TblPop[[#This Row],[Jobs]])</calculatedColumnFormula>
    </tableColumn>
    <tableColumn id="9" xr3:uid="{B05B6937-2C12-476B-B555-2A8ED6FF34EF}" name="Employment" dataDxfId="872" totalsRowDxfId="871" dataCellStyle="Percent">
      <calculatedColumnFormula>MIN(OFFSET(TblPop[[#This Row],[Jobs]],1,0)/TblPop[[#This Row],[Peasants]],1)</calculatedColumnFormula>
    </tableColumn>
    <tableColumn id="10" xr3:uid="{AD7F9BB7-A630-4BBB-AFEA-37B907196778}" name="Jobs" dataDxfId="870" totalsRowDxfId="869"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68" totalsRowDxfId="867" dataCellStyle="Percent"/>
    <tableColumn id="12" xr3:uid="{2EEFBFF9-40A4-412F-8FEC-C2F4799A06E6}" name=" Draftees" dataDxfId="866" totalsRowDxfId="865">
      <calculatedColumnFormula>TblPop[[#This Row],[Draftees]]</calculatedColumnFormula>
    </tableColumn>
    <tableColumn id="13" xr3:uid="{43729A62-E847-4DBB-BC42-62B1FB3DA7A5}" name="Unit 1" dataDxfId="864" totalsRowDxfId="863">
      <calculatedColumnFormula>TblMili[[#This Row],[Unit 1]]</calculatedColumnFormula>
    </tableColumn>
    <tableColumn id="14" xr3:uid="{C7A024F4-2376-4871-897D-90BEBEBC78B7}" name="Unit 2" dataDxfId="862" totalsRowDxfId="861">
      <calculatedColumnFormula>TblMili[[#This Row],[Unit 2]]</calculatedColumnFormula>
    </tableColumn>
    <tableColumn id="15" xr3:uid="{93EC8730-4D26-4E19-ADAA-3ED5C943F257}" name="Unit 3" dataDxfId="860" totalsRowDxfId="859">
      <calculatedColumnFormula>TblMili[[#This Row],[Unit 3]]</calculatedColumnFormula>
    </tableColumn>
    <tableColumn id="16" xr3:uid="{1A382ACC-9ED2-4A5E-BEE3-781B1DBCF186}" name="Unit 4" dataDxfId="858" totalsRowDxfId="857">
      <calculatedColumnFormula>TblMili[[#This Row],[Unit 4]]</calculatedColumnFormula>
    </tableColumn>
    <tableColumn id="17" xr3:uid="{491D1C19-D1B1-48C7-8FC6-BE77B7CD2635}" name="Spies" dataDxfId="856" totalsRowDxfId="855">
      <calculatedColumnFormula>TblMili[[#This Row],[Spies]]</calculatedColumnFormula>
    </tableColumn>
    <tableColumn id="18" xr3:uid="{1AF95FC5-21CD-41AC-A69F-CF5E9AF4AB85}" name="Wizards" dataDxfId="854" totalsRowDxfId="853">
      <calculatedColumnFormula>TblMili[[#This Row],[Wizards]]</calculatedColumnFormula>
    </tableColumn>
    <tableColumn id="19" xr3:uid="{C157D21E-FD58-4F24-A070-1819A7E2DA97}" name="Archmage" dataDxfId="852" totalsRowDxfId="851">
      <calculatedColumnFormula>TblMili[[#This Row],[Archmages]]</calculatedColumnFormula>
    </tableColumn>
    <tableColumn id="20" xr3:uid="{6BBFB632-E92F-4F29-AE3D-534C8288C615}" name=".." dataDxfId="850" totalsRowDxfId="849"/>
    <tableColumn id="21" xr3:uid="{59CAD00B-A8EE-455B-A015-E17ADF56A7B2}" name="Net max" dataDxfId="848" totalsRowDxfId="847">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46" totalsRowDxfId="845">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44" totalsRowDxfId="843">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42" totalsRowDxfId="841">
      <calculatedColumnFormula>ROUND(TblPop[[#This Row],[Raw Birth]]*(1+TblPop[[#This Row],[Growth]]),0)</calculatedColumnFormula>
    </tableColumn>
    <tableColumn id="25" xr3:uid="{26E60E7F-6DA3-49EF-99E8-26A0DAD2D630}" name="Raw Birth" dataDxfId="840" totalsRowDxfId="839">
      <calculatedColumnFormula>(TblPop[[#This Row],[Peasants]]-TblPop[[#This Row],[Draft Growth]])*raw_pop_growth</calculatedColumnFormula>
    </tableColumn>
    <tableColumn id="26" xr3:uid="{6E1274BE-772F-4747-A295-D51601B4FE11}" name="Draft Growth" dataDxfId="94">
      <calculatedColumnFormula>ROUND(IF(TblPop[[#This Row],[Military%]]&lt;TblMili[[#This Row],[Draftrate]],ROUND(TblPop[[#This Row],[Peasants]]*Constants!$B$55,0), 0) * IF(AND(TblMagic[[#This Row],[Active DnD]]&lt;=12,TblMagic[[#This Row],[Active DnD]]&gt;6),1.5,1),0)</calculatedColumnFormula>
    </tableColumn>
    <tableColumn id="27" xr3:uid="{858CE2A0-AC9E-46FE-9A70-AED1578889CB}" name="...." dataDxfId="838" totalsRowDxfId="837"/>
    <tableColumn id="28" xr3:uid="{B271B9C7-94D1-498F-9FBB-69DF5F1BCE3F}" name="Growth" dataDxfId="836" totalsRowDxfId="835"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34" totalsRowDxfId="833"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32" dataDxfId="830" headerRowBorderDxfId="831" tableBorderDxfId="82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28"/>
    <tableColumn id="2" xr3:uid="{A509F8BB-FCD1-4951-8F3F-2AE2B32FB91D}" name="Time" dataDxfId="827">
      <calculatedColumnFormula>TblImps[[#This Row],[Time]]</calculatedColumnFormula>
    </tableColumn>
    <tableColumn id="3" xr3:uid="{BD173BCD-6C73-484D-BDFC-2CBFE8B32234}" name="Plat Bonus" dataDxfId="826"/>
    <tableColumn id="4" xr3:uid="{9A9B3DEC-EBEC-4801-BF4F-F90BBBCDF331}" name="." dataDxfId="825"/>
    <tableColumn id="5" xr3:uid="{6F9B5905-FA1D-4099-B9CC-6BE237355D58}" name="Land" dataDxfId="824">
      <calculatedColumnFormula>TblConstr[[#This Row],[Land]]</calculatedColumnFormula>
    </tableColumn>
    <tableColumn id="6" xr3:uid="{5ADA8DA4-36DC-4D4F-AE4E-76BDD26AF270}" name="Peasants" dataDxfId="823">
      <calculatedColumnFormula>TblPop[[#This Row],[Peasants]]</calculatedColumnFormula>
    </tableColumn>
    <tableColumn id="7" xr3:uid="{EE7F0FC7-4D30-4144-88EE-9A05AD7BF609}" name="Networth" dataDxfId="822">
      <calculatedColumnFormula>TblMili[[#This Row],[Networth (2)]]</calculatedColumnFormula>
    </tableColumn>
    <tableColumn id="8" xr3:uid="{F7B8E7A7-7AD4-4D83-8297-946670C39E55}" name="Platinum" dataDxfId="82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82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81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818">
      <calculatedColumnFormula>OFFSET(TblProd[[#This Row],[Mana]],-1,0)+OFFSET(TblProd[[#This Row],[Mana/hr]],-1,0)- TblProd[[#This Row],[Expenses Mana]]</calculatedColumnFormula>
    </tableColumn>
    <tableColumn id="12" xr3:uid="{C80C4246-7273-429F-BE79-86B1B4181061}" name="Ore" dataDxfId="817">
      <calculatedColumnFormula>OFFSET(TblProd[[#This Row],[Ore]],-1,0)+OFFSET(TblProd[[#This Row],[Ore/hr]],-1,0) -TblProd[[#This Row],[Expenses Ore]]</calculatedColumnFormula>
    </tableColumn>
    <tableColumn id="13" xr3:uid="{4174B9D9-5881-42F2-A514-2A7372C2B486}" name="Gems" dataDxfId="816">
      <calculatedColumnFormula>OFFSET(TblProd[[#This Row],[Gems]],-1,0)+OFFSET(TblProd[[#This Row],[Gems/hr]],-1,0) - TblProd[[#This Row],[Expenses Gems]]</calculatedColumnFormula>
    </tableColumn>
    <tableColumn id="14" xr3:uid="{C9DF5508-173B-4E9B-BD32-3313FC0AECA9}" name="Boats" dataDxfId="815">
      <calculatedColumnFormula>OFFSET(TblProd[[#This Row],[Boats]],-1,0)+OFFSET(TblProd[[#This Row],[Boats/hr]],-1,0)</calculatedColumnFormula>
    </tableColumn>
    <tableColumn id="15" xr3:uid="{C2EE37F5-4C79-4BD9-BE97-5B3BBB490CD3}" name="Prestige" dataDxfId="814">
      <calculatedColumnFormula>OFFSET(TblProd[[#This Row],[Prestige]],-1,0)</calculatedColumnFormula>
    </tableColumn>
    <tableColumn id="16" xr3:uid="{5EEA2772-71AB-4FF8-BF5F-D1D5B4044943}" name="Techpoints" dataDxfId="81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812">
      <calculatedColumnFormula>MAX(_xlfn.CEILING.MATH(TblProd[[#This Row],[Land]]*2.5+IFERROR(OFFSET(TblTech[[#This Row],[Sum of tech]],-1,0)*50,0)),3750)</calculatedColumnFormula>
    </tableColumn>
    <tableColumn id="18" xr3:uid="{BC60D6AE-146D-440E-93B9-050DE2CAED7A}" name=".." dataDxfId="811"/>
    <tableColumn id="19" xr3:uid="{F7A6187F-1DDE-45C0-B221-8BA0937C4E35}" name="Plat/hr" dataDxfId="810">
      <calculatedColumnFormula>ROUNDDOWN(TblProd[[#This Row],[Raw Plat/hr]]*(1+TblProd[[#This Row],[Bonus Plat/hr]]),0)</calculatedColumnFormula>
    </tableColumn>
    <tableColumn id="20" xr3:uid="{EBA5F35A-607A-475E-9357-98AF551D44A6}" name="Food/hr" dataDxfId="809">
      <calculatedColumnFormula>ROUND(TblProd[[#This Row],[Raw Food/hr]]*(1+TblProd[[#This Row],[Bonus Food/hr]])-TblProd[[#This Row],[Food decay]]-TblProd[[#This Row],[Food eaten]],0)</calculatedColumnFormula>
    </tableColumn>
    <tableColumn id="21" xr3:uid="{D75AA2A6-F107-4144-8A7D-4BE575236288}" name="Lumber/hr" dataDxfId="808">
      <calculatedColumnFormula>ROUND(TblProd[[#This Row],[Raw Lumber/hr]]*(1+TblProd[[#This Row],[Bonus Lumber/hr]])-TblProd[[#This Row],[Lumber rot]],0)</calculatedColumnFormula>
    </tableColumn>
    <tableColumn id="22" xr3:uid="{4AA82FE8-7AD6-4F9E-B8A1-627CE2E70CE0}" name="Mana/hr" dataDxfId="807">
      <calculatedColumnFormula>ROUND(TblProd[[#This Row],[Raw Mana/hr]]*(1+TblProd[[#This Row],[Bonus Mana/hr]])-TblProd[[#This Row],[Mana drain]],0)</calculatedColumnFormula>
    </tableColumn>
    <tableColumn id="23" xr3:uid="{86A49F4B-CDA3-4B61-B4D9-8830178E715E}" name="Ore/hr" dataDxfId="806">
      <calculatedColumnFormula>ROUNDDOWN(TblProd[[#This Row],[Raw Ore/hr]]*(1+TblProd[[#This Row],[Bonux Ore/hr]]),0)</calculatedColumnFormula>
    </tableColumn>
    <tableColumn id="24" xr3:uid="{F7C3BCF1-3F12-4405-8E19-ED1B9D20D049}" name="Gems/hr" dataDxfId="805">
      <calculatedColumnFormula>ROUNDDOWN(TblProd[[#This Row],[Raw Gems/hr]]*(1+TblProd[[#This Row],[Bonus Gems/hr]]),0)</calculatedColumnFormula>
    </tableColumn>
    <tableColumn id="25" xr3:uid="{E754A630-9007-4F8A-A8B7-C56609E09275}" name="Boats/hr" dataDxfId="804">
      <calculatedColumnFormula>OFFSET(TblConstr[[#This Row],[Tot Doc]],1,0)*dock_boats_hr * (1 + tech_4_1*TblTech[[#This Row],[4-1]])</calculatedColumnFormula>
    </tableColumn>
    <tableColumn id="26" xr3:uid="{8666710D-F3A4-4016-AA32-8D95B9BFFE3D}" name="…" dataDxfId="803"/>
    <tableColumn id="27" xr3:uid="{BE5DAA3C-8D26-4E0F-87D4-E9FE3E149040}" name="Raw Plat/hr" dataDxfId="802">
      <calculatedColumnFormula>TblPop[[#This Row],[Peasants]]*tax*TblPop[[#This Row],[Employment]] + (Construction!AZ5+Construction!BX5)*(alch_plat+(Magic!AN4&gt;0)*alchemist_flame_bonus)</calculatedColumnFormula>
    </tableColumn>
    <tableColumn id="28" xr3:uid="{72437831-3C94-4E01-9B66-637CE9F1FC37}" name="Raw Food/hr" dataDxfId="801">
      <calculatedColumnFormula>TblConstr[[#This Row],[Tot Farm]]*farm_food + TblConstr[[#This Row],[Tot Doc]]*dock_food</calculatedColumnFormula>
    </tableColumn>
    <tableColumn id="29" xr3:uid="{6327048A-17B4-47F0-A6D6-4DF606F8872E}" name="Raw Lumber/hr" dataDxfId="800">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99">
      <calculatedColumnFormula>OFFSET(TblConstr[[#This Row],[Tot Tow]],1,0)*(tower_mana + tech_4_5*TblTech[[#This Row],[4-5]]) + OFFSET(TblConstr[[#This Row],[Tot WG]],1,0)*wg_mana_prod</calculatedColumnFormula>
    </tableColumn>
    <tableColumn id="31" xr3:uid="{1FCC3E78-11E8-4286-A9C0-F9F5FA32B54A}" name="Raw Ore/hr" dataDxfId="798">
      <calculatedColumnFormula>OFFSET(TblConstr[[#This Row],[Tot OM]],1,0)*om_ore+IF(race="Dwarf",TblMili[[#This Row],[Unit 2]]*0.5,0)</calculatedColumnFormula>
    </tableColumn>
    <tableColumn id="32" xr3:uid="{8AFDB340-E76D-4906-8F67-515703AD5439}" name="Raw Gems/hr" dataDxfId="797">
      <calculatedColumnFormula>OFFSET(TblConstr[[#This Row],[Tot DM]],1,0)*dm_gems</calculatedColumnFormula>
    </tableColumn>
    <tableColumn id="33" xr3:uid="{E86B471A-FB4B-478C-B269-80AA28A99240}" name="...." dataDxfId="796"/>
    <tableColumn id="34" xr3:uid="{9F134F8D-9272-4F13-BEA1-036303BDF806}" name="Bonus Plat/hr" dataDxfId="795">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94">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9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92">
      <calculatedColumnFormula>race_mana_bonus+ 0 + TblImps[[#This Row],[Spires]] + tech_1_2*TblTech[[#This Row],[1-2]] + tech_3_4*TblTech[[#This Row],[3-4]]</calculatedColumnFormula>
    </tableColumn>
    <tableColumn id="38" xr3:uid="{86499F2E-9498-4D5B-8626-C51CB440415E}" name="Bonux Ore/hr" dataDxfId="79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90">
      <calculatedColumnFormula>race_gem_bonus+ tech_3_2*TblTech[[#This Row],[3-2]] + tech_4_3*TblTech[[#This Row],[4-3]] + tech_6_2*TblTech[[#This Row],[6-2]]</calculatedColumnFormula>
    </tableColumn>
    <tableColumn id="40" xr3:uid="{13CEE817-130E-4D49-8EA9-E724A91FD06F}" name="…." dataDxfId="789"/>
    <tableColumn id="41" xr3:uid="{6AD9C25C-A77A-4288-B914-DEAB151F3EBD}" name="Food decay" dataDxfId="788">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87">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86">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85">
      <calculatedColumnFormula>TblProd[[#This Row],[Mana]]*mana_drain * (1 + tech_2_1*TblTech[[#This Row],[2-1]] + tech_2_8*TblTech[[#This Row],[2-8]])</calculatedColumnFormula>
    </tableColumn>
    <tableColumn id="45" xr3:uid="{D3D223E8-8991-4557-84CB-F59345A9686F}" name="….." dataDxfId="784"/>
    <tableColumn id="46" xr3:uid="{0EFE67ED-4C56-4E46-B6BE-B5FAFB53783E}" name="Expenses Platinum" dataDxfId="78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82">
      <calculatedColumnFormula>TblConstr[[#This Row],[Total Lum Cost]]+TblImps[[#This Row],[L1]]-TblProd[[#This Row],[Bank Lumber]] + Military!$CO$25*TblMili[[#This Row],[Sec. rec. Cost]]</calculatedColumnFormula>
    </tableColumn>
    <tableColumn id="48" xr3:uid="{3C88EFC6-8DA5-40ED-A97A-2AAFD0B3B6AD}" name="Expenses Mana" dataDxfId="781">
      <calculatedColumnFormula>TblMagic[[#This Row],[Mana cost]] + Military!$CO$26*TblMili[[#This Row],[Sec. rec. Cost]]</calculatedColumnFormula>
    </tableColumn>
    <tableColumn id="49" xr3:uid="{1E4E3815-206F-4A61-AE33-CA14E995FDCB}" name="Expenses Ore" dataDxfId="780">
      <calculatedColumnFormula>Military!$CO$24*TblMili[[#This Row],[Sec. rec. Cost]]+TblImps[[#This Row],[O1]]-TblProd[[#This Row],[Bank Ore]]</calculatedColumnFormula>
    </tableColumn>
    <tableColumn id="50" xr3:uid="{8DF861B9-6D00-413F-82A6-CB9FB4344D68}" name="Expenses Gems" dataDxfId="779">
      <calculatedColumnFormula>TblImps[[#This Row],[G1]]-TblProd[[#This Row],[Bank Gems]]</calculatedColumnFormula>
    </tableColumn>
    <tableColumn id="51" xr3:uid="{B251D943-2DAF-44E5-BCC8-D6734C7115AC}" name="…..." dataDxfId="778"/>
    <tableColumn id="52" xr3:uid="{4B9E6D84-D900-4020-9F03-31B7E7CFFDDD}" name="Guard" dataDxfId="777">
      <calculatedColumnFormula>IF(TblProd[[#This Row],[Set Guard]]&lt;&gt;"",TblProd[[#This Row],[Set Guard]],OFFSET(TblProd[[#This Row],[Guard]],-1,0))</calculatedColumnFormula>
    </tableColumn>
    <tableColumn id="53" xr3:uid="{1F4E66ED-8544-4DEE-A238-E9BA6D663684}" name="Set Guard" dataDxfId="776"/>
    <tableColumn id="54" xr3:uid="{1D4B089E-CFD3-41C4-BDA0-74070303A629}" name="Hour (2)" dataDxfId="775">
      <calculatedColumnFormula>TblProd[[#This Row],[Hour]]</calculatedColumnFormula>
    </tableColumn>
    <tableColumn id="55" xr3:uid="{13D8CC8A-81E1-41BB-9F87-384EE02343C0}" name="Bank Plat" dataDxfId="774">
      <calculatedColumnFormula>-TblProd[[#This Row],[Bank Lumber]] / 2 + -TblProd[[#This Row],[Bank Gems]] * 2 + -TblProd[[#This Row],[Bank Ore]] / 2</calculatedColumnFormula>
    </tableColumn>
    <tableColumn id="56" xr3:uid="{41D3199A-B537-41B8-A35D-AB3FAE3A7763}" name="Bank Lumber" dataDxfId="773"/>
    <tableColumn id="57" xr3:uid="{F8C6B652-BED5-46E0-B507-4A728112F421}" name="Bank Ore" dataDxfId="772"/>
    <tableColumn id="58" xr3:uid="{0A836235-2002-4186-985F-CF495776E28E}" name="Bank Gems" dataDxfId="771"/>
    <tableColumn id="59" xr3:uid="{56B680F7-B10A-487B-B563-4297DE674256}" name="Time (2)" dataDxfId="770">
      <calculatedColumnFormula>TblProd[[#This Row],[Time]]</calculatedColumnFormula>
    </tableColumn>
    <tableColumn id="60" xr3:uid="{B3E3CCBD-6079-4735-A75E-072E37E0325B}" name="Ok?" dataDxfId="76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68">
      <calculatedColumnFormula>TblProd[[#This Row],[Platinum]]</calculatedColumnFormula>
    </tableColumn>
    <tableColumn id="62" xr3:uid="{BAE994A1-A5C4-42FD-B88E-93A7F2337723}" name="Stats Food" dataDxfId="767">
      <calculatedColumnFormula>TblProd[[#This Row],[Food]]</calculatedColumnFormula>
    </tableColumn>
    <tableColumn id="63" xr3:uid="{8FF996E7-6950-42AE-80FE-25BD3D3ADB81}" name="Stats Lumber" dataDxfId="766">
      <calculatedColumnFormula>TblProd[[#This Row],[Lumber]]</calculatedColumnFormula>
    </tableColumn>
    <tableColumn id="64" xr3:uid="{4E3282B4-65CE-45FC-B881-93C3F98E36E0}" name="Stats Mana" dataDxfId="765">
      <calculatedColumnFormula>TblProd[[#This Row],[Mana]]</calculatedColumnFormula>
    </tableColumn>
    <tableColumn id="65" xr3:uid="{C1490C22-CEF7-430F-B6CC-F7FDA2F90C17}" name="Stats Ore" dataDxfId="764">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63" dataDxfId="761" totalsRowDxfId="759" headerRowBorderDxfId="762" tableBorderDxfId="760">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58" totalsRowDxfId="757">
      <calculatedColumnFormula>TblRezone[[#This Row],[Hour]]</calculatedColumnFormula>
    </tableColumn>
    <tableColumn id="1" xr3:uid="{16A4A80A-781E-4E74-BC12-3B194ED2F6BF}" name="Barren" dataDxfId="756" totalsRowDxfId="755">
      <calculatedColumnFormula>SUM(TblConstr[[#This Row],[Plain]:[Water]])</calculatedColumnFormula>
    </tableColumn>
    <tableColumn id="2" xr3:uid="{F83194BF-B786-4A33-B371-25BE7289AC68}" name="Buildings" dataDxfId="754" totalsRowDxfId="753">
      <calculatedColumnFormula>SUM(TblConstr[[#This Row],[Tot Hom]:[Tot Doc]])</calculatedColumnFormula>
    </tableColumn>
    <tableColumn id="3" xr3:uid="{343846C5-19E9-4357-B5DD-B105ACEC8C2C}" name="Incoming" dataDxfId="752" totalsRowDxfId="751"/>
    <tableColumn id="4" xr3:uid="{A20911DB-7155-4794-AD46-07AAD44BDAFE}" name="." dataDxfId="750" totalsRowDxfId="749"/>
    <tableColumn id="5" xr3:uid="{279706A5-BDE6-4F21-9D4E-93DD796722CB}" name="Land" dataDxfId="748" totalsRowDxfId="747">
      <calculatedColumnFormula>TblConstr[[#This Row],[Barren]]+TblConstr[[#This Row],[Buildings]]+TblConstr[[#This Row],[Incoming]]</calculatedColumnFormula>
    </tableColumn>
    <tableColumn id="6" xr3:uid="{8D16C913-6FBB-42B5-890E-7AA3F7D780F3}" name="Plain" dataDxfId="746" totalsRowDxfId="745">
      <calculatedColumnFormula>OFFSET(TblConstr[[#This Row],[Plain]],-1,0)+TblConstr[[#This Row],[Ch_Plain]]</calculatedColumnFormula>
    </tableColumn>
    <tableColumn id="7" xr3:uid="{ECABDC59-2CFA-4924-832F-64BD947684FE}" name="Forest" dataDxfId="744" totalsRowDxfId="743">
      <calculatedColumnFormula>OFFSET(TblConstr[[#This Row],[Forest]],-1,0)+TblConstr[[#This Row],[Ch_Forest]]</calculatedColumnFormula>
    </tableColumn>
    <tableColumn id="8" xr3:uid="{AD888BC9-7B2A-431B-912B-F76B183C4BC2}" name="Mountain" dataDxfId="742" totalsRowDxfId="741">
      <calculatedColumnFormula>OFFSET(TblConstr[[#This Row],[Mountain]],-1,0)+TblConstr[[#This Row],[Ch_Mountain]]</calculatedColumnFormula>
    </tableColumn>
    <tableColumn id="9" xr3:uid="{B9F107CC-9E87-47F0-9669-7B4E32869962}" name="Hill" dataDxfId="740" totalsRowDxfId="739">
      <calculatedColumnFormula>OFFSET(TblConstr[[#This Row],[Hill]],-1,0)+TblConstr[[#This Row],[Ch_Hill]]</calculatedColumnFormula>
    </tableColumn>
    <tableColumn id="10" xr3:uid="{8067675A-D7AC-461C-B5B4-B2FDA278D46E}" name="Swamp" dataDxfId="738" totalsRowDxfId="737">
      <calculatedColumnFormula>OFFSET(TblConstr[[#This Row],[Swamp]],-1,0)+TblConstr[[#This Row],[Ch_Swamp]]</calculatedColumnFormula>
    </tableColumn>
    <tableColumn id="11" xr3:uid="{F6E4B820-D719-41FF-A537-55FE6AFBAF0E}" name="Cavern" dataDxfId="736" totalsRowDxfId="735">
      <calculatedColumnFormula>OFFSET(TblConstr[[#This Row],[Cavern]],-1,0)+TblConstr[[#This Row],[Ch_Cavern]]</calculatedColumnFormula>
    </tableColumn>
    <tableColumn id="12" xr3:uid="{54552E9E-E771-4104-87F6-20952C6A2D90}" name="Water" dataDxfId="734" totalsRowDxfId="733">
      <calculatedColumnFormula>OFFSET(TblConstr[[#This Row],[Water]],-1,0)+TblConstr[[#This Row],[Ch_Water]]</calculatedColumnFormula>
    </tableColumn>
    <tableColumn id="112" xr3:uid="{68F0FBE6-EBED-4B66-81D6-A19DB934C48D}" name="Hour  " dataDxfId="732" totalsRowDxfId="731">
      <calculatedColumnFormula>TblRezone[[#This Row],[Hour]]</calculatedColumnFormula>
    </tableColumn>
    <tableColumn id="14" xr3:uid="{6A739C2B-FED1-46DE-A6EC-2761E132E225}" name="Hom" dataDxfId="730" totalsRowDxfId="729"/>
    <tableColumn id="15" xr3:uid="{E50EB7D2-A060-4B91-920B-B3335EF23400}" name="Alc" dataDxfId="728" totalsRowDxfId="727"/>
    <tableColumn id="16" xr3:uid="{E3F8F390-578A-46F4-8079-68503504AE5A}" name="Far" dataDxfId="726" totalsRowDxfId="725"/>
    <tableColumn id="17" xr3:uid="{CC502929-3E3E-483C-AA45-1E8DC6E6F788}" name="Smi" dataDxfId="724" totalsRowDxfId="723"/>
    <tableColumn id="18" xr3:uid="{2849017C-83D2-48CF-BAFC-E8180F6B87B3}" name="Mas" dataDxfId="722" totalsRowDxfId="721"/>
    <tableColumn id="19" xr3:uid="{902080F0-045E-460C-8A94-D28082F0684A}" name="Ly" dataDxfId="720" totalsRowDxfId="719"/>
    <tableColumn id="20" xr3:uid="{74F11359-7A83-40C9-8D72-4E7342A4C5F6}" name="Hav" dataDxfId="718" totalsRowDxfId="717"/>
    <tableColumn id="21" xr3:uid="{2F4CD982-1BA1-4887-BEEF-D1CEDDFDCD98}" name="OM" dataDxfId="716" totalsRowDxfId="715"/>
    <tableColumn id="22" xr3:uid="{8FB86139-1373-407A-B799-7C5D49EF3A26}" name="GN" dataDxfId="714" totalsRowDxfId="713"/>
    <tableColumn id="23" xr3:uid="{283576BE-DC2F-4C4A-B83A-40303ED03A64}" name="Fac" dataDxfId="712" totalsRowDxfId="711"/>
    <tableColumn id="24" xr3:uid="{5CFB0CBF-3773-41F6-9B86-E1678AA28900}" name="GT" dataDxfId="710" totalsRowDxfId="709"/>
    <tableColumn id="25" xr3:uid="{19E4F682-9015-4478-9312-A3022D1FEEE9}" name="Bar" dataDxfId="708" totalsRowDxfId="707"/>
    <tableColumn id="26" xr3:uid="{013252D4-D385-4331-9170-92B5C8BB4C64}" name="Shr" dataDxfId="706" totalsRowDxfId="705"/>
    <tableColumn id="27" xr3:uid="{D4B27941-E688-419F-8B6F-B73F6CF2AB5B}" name="Tow" dataDxfId="704" totalsRowDxfId="703"/>
    <tableColumn id="28" xr3:uid="{17047BB4-364B-45DB-830B-858C7BD30B39}" name="Tem" dataDxfId="702" totalsRowDxfId="701"/>
    <tableColumn id="29" xr3:uid="{8910E8E2-8D7F-45E2-8559-CB4F40D25EB8}" name="WG" dataDxfId="700" totalsRowDxfId="699"/>
    <tableColumn id="30" xr3:uid="{BDAAD77D-88DB-4E61-9C07-44CAE4913F4B}" name="DM" dataDxfId="698" totalsRowDxfId="697"/>
    <tableColumn id="31" xr3:uid="{BFDB5F50-9A23-4E21-AEF0-8F150174C5D9}" name="Sch" dataDxfId="696" totalsRowDxfId="695"/>
    <tableColumn id="32" xr3:uid="{F4596035-B7F8-4B94-9B36-37B190EBF2F5}" name="Doc" dataDxfId="694" totalsRowDxfId="693"/>
    <tableColumn id="33" xr3:uid="{B506678F-5C96-41A2-B16E-01903002457C}" name="time" dataDxfId="692" totalsRowDxfId="691">
      <calculatedColumnFormula>TblImps[[#This Row],[Time]]</calculatedColumnFormula>
    </tableColumn>
    <tableColumn id="34" xr3:uid="{BBF9E4A7-4AD1-4256-838E-84E222A5E5B5}" name="Facs -DB" dataDxfId="690" totalsRowDxfId="689" dataCellStyle="Percent">
      <calculatedColumnFormula>MIN(25%,(TblConstr[[#This Row],[Tot Fac]]+TblConstr[[#This Row],[Dest Fac]])/(TblConstr[[#This Row],[Land]]-TblExplore[[#This Row],[Land Bonus]]*20))</calculatedColumnFormula>
    </tableColumn>
    <tableColumn id="35" xr3:uid="{CE9651FB-E7AA-4AC3-9369-D03ACA26B669}" name="Facs DB" dataDxfId="688" totalsRowDxfId="687" dataCellStyle="Percent">
      <calculatedColumnFormula>MIN(25%,(TblConstr[[#This Row],[Tot Fac]]+TblConstr[[#This Row],[Dest Fac]])/TblConstr[[#This Row],[Land]])</calculatedColumnFormula>
    </tableColumn>
    <tableColumn id="36" xr3:uid="{09991F89-DEAA-4698-A25A-D13F6565EDD4}" name="Platinum" dataDxfId="686" totalsRowDxfId="685">
      <calculatedColumnFormula>TblProd[[#This Row],[Platinum]]</calculatedColumnFormula>
    </tableColumn>
    <tableColumn id="37" xr3:uid="{98B47891-EB31-4D7F-8AC4-80255A877681}" name="Lumber" dataDxfId="684" totalsRowDxfId="683">
      <calculatedColumnFormula>TblProd[[#This Row],[Lumber]]</calculatedColumnFormula>
    </tableColumn>
    <tableColumn id="38" xr3:uid="{4BCC987F-ABDB-4939-B66E-9E39DDB56076}" name="CPA Platinum -DB" dataDxfId="682" totalsRowDxfId="68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80" totalsRowDxfId="679">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78" totalsRowDxfId="67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76" totalsRowDxfId="675">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74" totalsRowDxfId="673">
      <calculatedColumnFormula>TblConstr[[#This Row],[build -db]]*TblConstr[[#This Row],[CPA Platinum -DB]] + TblConstr[[#This Row],[build db]]*TblConstr[[#This Row],[CPA Platinum DB]]</calculatedColumnFormula>
    </tableColumn>
    <tableColumn id="43" xr3:uid="{F2E3CBCF-A243-4043-87E8-17546293A159}" name="Total Lum Cost" dataDxfId="672" totalsRowDxfId="671">
      <calculatedColumnFormula>TblConstr[[#This Row],[build -db]]*TblConstr[[#This Row],[CPA Lumber -DB]] + TblConstr[[#This Row],[build db]]*TblConstr[[#This Row],[CPA Lumber DB]]</calculatedColumnFormula>
    </tableColumn>
    <tableColumn id="44" xr3:uid="{119F0A26-AFE5-4C99-86DF-E2019D697B1F}" name="build -db" dataDxfId="670" totalsRowDxfId="669">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68" totalsRowDxfId="667">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66" totalsRowDxfId="665"/>
    <tableColumn id="47" xr3:uid="{2AB27BA8-C2B6-44FC-89D1-B8C469C03A31}" name="RCPA Platinum " dataDxfId="664" totalsRowDxfId="663">
      <calculatedColumnFormula>ROUND((TblConstr[[#This Row],[Land]]-250 - IF(TblExplore[[#This Row],[Land Bonus]]&lt;&gt;0,20,0))*1.25 + 850 + 0,0)</calculatedColumnFormula>
    </tableColumn>
    <tableColumn id="48" xr3:uid="{745E4D31-3689-4F62-A15B-2D5399E746CA}" name="RCPA Lumber" dataDxfId="662">
      <calculatedColumnFormula>ROUND((TblConstr[[#This Row],[Land]]-250 - IF(TblExplore[[#This Row],[Land Bonus]]&lt;&gt;0,20,0))*0.285 + 87.5 + 0/4.25,0)</calculatedColumnFormula>
    </tableColumn>
    <tableColumn id="49" xr3:uid="{619C112A-EE5A-4710-AF52-5843FF4DB054}" name="…" dataDxfId="661" totalsRowDxfId="660"/>
    <tableColumn id="50" xr3:uid="{F2846ED2-FD2C-4B82-8D89-DEC4D6C89C45}" name="Tot Hom" dataDxfId="659" totalsRowDxfId="658">
      <calculatedColumnFormula array="1">IF(TblConstr[[#This Row],[Hour]:[Hour]]&gt;12,OFFSET(TblConstr[[#This Row],[Hom]],-12,0),0)+OFFSET(TblConstr[[#This Row],[Tot Hom]],-1,0)-TblConstr[[#This Row],[Dest Hom]]</calculatedColumnFormula>
    </tableColumn>
    <tableColumn id="51" xr3:uid="{3A820279-E5AD-460C-8EA2-56927C664532}" name="Tot Alc" dataDxfId="657" totalsRowDxfId="656">
      <calculatedColumnFormula array="1">IF(TblConstr[[#This Row],[Hour]:[Hour]]&gt;12,OFFSET(TblConstr[[#This Row],[Alc]],-12,0),0)+OFFSET(TblConstr[[#This Row],[Tot Alc]],-1,0)-TblConstr[[#This Row],[Dest Alc]]</calculatedColumnFormula>
    </tableColumn>
    <tableColumn id="52" xr3:uid="{2F201F1F-E604-470C-A21C-EF43882A5460}" name="Tot Farm" dataDxfId="655" totalsRowDxfId="654">
      <calculatedColumnFormula array="1">IF(TblConstr[[#This Row],[Hour]:[Hour]]&gt;12,OFFSET(TblConstr[[#This Row],[Far]],-12,0),0)+OFFSET(TblConstr[[#This Row],[Tot Farm]],-1,0)-TblConstr[[#This Row],[Dest Farm]]</calculatedColumnFormula>
    </tableColumn>
    <tableColumn id="53" xr3:uid="{CF25F1ED-4CEE-4702-9FD7-472555CAE1E7}" name="Tot Smi" dataDxfId="653" totalsRowDxfId="652">
      <calculatedColumnFormula array="1">IF(TblConstr[[#This Row],[Hour]:[Hour]]&gt;12,OFFSET(TblConstr[[#This Row],[Smi]],-12,0),0)+OFFSET(TblConstr[[#This Row],[Tot Smi]],-1,0)-TblConstr[[#This Row],[Dest Smi]]</calculatedColumnFormula>
    </tableColumn>
    <tableColumn id="54" xr3:uid="{AA2380E5-3483-49DB-91B7-F7447D6C17A7}" name="Tot Mas" dataDxfId="651" totalsRowDxfId="650">
      <calculatedColumnFormula array="1">IF(TblConstr[[#This Row],[Hour]:[Hour]]&gt;12,OFFSET(TblConstr[[#This Row],[Mas]],-12,0),0)+OFFSET(TblConstr[[#This Row],[Tot Mas]],-1,0)-TblConstr[[#This Row],[Dest Mas]]</calculatedColumnFormula>
    </tableColumn>
    <tableColumn id="55" xr3:uid="{9983477D-EC22-4053-88C9-D53436C89351}" name="Tot Ly" dataDxfId="649" totalsRowDxfId="648">
      <calculatedColumnFormula array="1">IF(TblConstr[[#This Row],[Hour]:[Hour]]&gt;12,OFFSET(TblConstr[[#This Row],[Ly]],-12,0),0)+OFFSET(TblConstr[[#This Row],[Tot Ly]],-1,0)-TblConstr[[#This Row],[Dest Ly]]</calculatedColumnFormula>
    </tableColumn>
    <tableColumn id="56" xr3:uid="{0A8A610F-D674-4772-9EB7-EC610164DF60}" name="Tot Hav" dataDxfId="647" totalsRowDxfId="646">
      <calculatedColumnFormula array="1">IF(TblConstr[[#This Row],[Hour]:[Hour]]&gt;12,OFFSET(TblConstr[[#This Row],[Hav]],-12,0),0)+OFFSET(TblConstr[[#This Row],[Tot Hav]],-1,0)-TblConstr[[#This Row],[Dest Hav]]</calculatedColumnFormula>
    </tableColumn>
    <tableColumn id="57" xr3:uid="{40570349-3AA5-42B4-9820-CC736C2D1B3D}" name="Tot OM" dataDxfId="645" totalsRowDxfId="644">
      <calculatedColumnFormula array="1">IF(TblConstr[[#This Row],[Hour]:[Hour]]&gt;12,OFFSET(TblConstr[[#This Row],[OM]],-12,0),0)+OFFSET(TblConstr[[#This Row],[Tot OM]],-1,0)-TblConstr[[#This Row],[Dest OM]]</calculatedColumnFormula>
    </tableColumn>
    <tableColumn id="58" xr3:uid="{D7C1895E-C93F-4CEE-BB20-88F13C3DA864}" name="Tot GN" dataDxfId="643" totalsRowDxfId="642">
      <calculatedColumnFormula array="1">IF(TblConstr[[#This Row],[Hour]:[Hour]]&gt;12,OFFSET(TblConstr[[#This Row],[GN]],-12,0),0)+OFFSET(TblConstr[[#This Row],[Tot GN]],-1,0)-TblConstr[[#This Row],[Dest GN]]</calculatedColumnFormula>
    </tableColumn>
    <tableColumn id="59" xr3:uid="{6C106580-CB33-4C2F-8B4D-856AC68AA85B}" name="Tot Fac" dataDxfId="641" totalsRowDxfId="640">
      <calculatedColumnFormula array="1">IF(TblConstr[[#This Row],[Hour]:[Hour]]&gt;12,OFFSET(TblConstr[[#This Row],[Fac]],-12,0),0)+OFFSET(TblConstr[[#This Row],[Tot Fac]],-1,0)-TblConstr[[#This Row],[Dest Fac]]</calculatedColumnFormula>
    </tableColumn>
    <tableColumn id="60" xr3:uid="{D3A39C76-EE6D-4C40-B64E-12EE496ACF75}" name="Tot GT" dataDxfId="639" totalsRowDxfId="638">
      <calculatedColumnFormula array="1">IF(TblConstr[[#This Row],[Hour]:[Hour]]&gt;12,OFFSET(TblConstr[[#This Row],[GT]],-12,0),0)+OFFSET(TblConstr[[#This Row],[Tot GT]],-1,0)-TblConstr[[#This Row],[Dest GT]]</calculatedColumnFormula>
    </tableColumn>
    <tableColumn id="61" xr3:uid="{3C88629E-DBB8-4626-8826-42DE21B8CCF3}" name="Tot Bar" dataDxfId="637" totalsRowDxfId="636">
      <calculatedColumnFormula array="1">IF(TblConstr[[#This Row],[Hour]:[Hour]]&gt;12,OFFSET(TblConstr[[#This Row],[Bar]],-12,0),0)+OFFSET(TblConstr[[#This Row],[Tot Bar]],-1,0)-TblConstr[[#This Row],[Dest Bar]]</calculatedColumnFormula>
    </tableColumn>
    <tableColumn id="62" xr3:uid="{9B339DEA-0599-4758-9D02-2BCE3EA7ACC3}" name="Tot Shr" dataDxfId="635" totalsRowDxfId="634">
      <calculatedColumnFormula array="1">IF(TblConstr[[#This Row],[Hour]:[Hour]]&gt;12,OFFSET(TblConstr[[#This Row],[Shr]],-12,0),0)+OFFSET(TblConstr[[#This Row],[Tot Shr]],-1,0)-TblConstr[[#This Row],[Dest Shr]]</calculatedColumnFormula>
    </tableColumn>
    <tableColumn id="63" xr3:uid="{BC8AAD30-881D-4FF0-9567-7FF1D9791913}" name="Tot Tow" dataDxfId="633" totalsRowDxfId="632">
      <calculatedColumnFormula array="1">IF(TblConstr[[#This Row],[Hour]:[Hour]]&gt;12,OFFSET(TblConstr[[#This Row],[Tow]],-12,0),0)+OFFSET(TblConstr[[#This Row],[Tot Tow]],-1,0)-TblConstr[[#This Row],[Dest Tow]]</calculatedColumnFormula>
    </tableColumn>
    <tableColumn id="64" xr3:uid="{59A3F80D-5052-4FDF-AF65-62DB182FD6A6}" name="Tot Tem" dataDxfId="631" totalsRowDxfId="630">
      <calculatedColumnFormula array="1">IF(TblConstr[[#This Row],[Hour]:[Hour]]&gt;12,OFFSET(TblConstr[[#This Row],[Tem]],-12,0),0)+OFFSET(TblConstr[[#This Row],[Tot Tem]],-1,0)-TblConstr[[#This Row],[Dest Tem]]</calculatedColumnFormula>
    </tableColumn>
    <tableColumn id="65" xr3:uid="{00A352BB-E75B-4E3F-AC3D-1D0DC0813148}" name="Tot WG" dataDxfId="629" totalsRowDxfId="628">
      <calculatedColumnFormula array="1">IF(TblConstr[[#This Row],[Hour]:[Hour]]&gt;12,OFFSET(TblConstr[[#This Row],[WG]],-12,0),0)+OFFSET(TblConstr[[#This Row],[Tot WG]],-1,0)-TblConstr[[#This Row],[Dest WG]]</calculatedColumnFormula>
    </tableColumn>
    <tableColumn id="66" xr3:uid="{AC79E3B7-8BF6-4AEF-AACC-9BCCADEEE9EC}" name="Tot DM" dataDxfId="627" totalsRowDxfId="626">
      <calculatedColumnFormula array="1">IF(TblConstr[[#This Row],[Hour]:[Hour]]&gt;12,OFFSET(TblConstr[[#This Row],[DM]],-12,0),0)+OFFSET(TblConstr[[#This Row],[Tot DM]],-1,0)-TblConstr[[#This Row],[Dest DM]]</calculatedColumnFormula>
    </tableColumn>
    <tableColumn id="67" xr3:uid="{0CFFF054-0F8D-4B14-9366-77ABD3382DE4}" name="Tot Sch" dataDxfId="625" totalsRowDxfId="624">
      <calculatedColumnFormula array="1">IF(TblConstr[[#This Row],[Hour]:[Hour]]&gt;12,OFFSET(TblConstr[[#This Row],[Sch]],-12,0),0)+OFFSET(TblConstr[[#This Row],[Tot Sch]],-1,0)-TblConstr[[#This Row],[Dest Sch]]</calculatedColumnFormula>
    </tableColumn>
    <tableColumn id="68" xr3:uid="{EEBD7864-CCF1-4E52-A4D7-93474D156483}" name="Tot Doc" dataDxfId="623" totalsRowDxfId="622">
      <calculatedColumnFormula array="1">IF(TblConstr[[#This Row],[Hour]:[Hour]]&gt;12,OFFSET(TblConstr[[#This Row],[Doc]],-12,0),0)+OFFSET(TblConstr[[#This Row],[Tot Doc]],-1,0)-TblConstr[[#This Row],[Dest Doc]]</calculatedColumnFormula>
    </tableColumn>
    <tableColumn id="69" xr3:uid="{9CB7D1EC-8231-4E29-AF89-78480EAACCBE}" name="…." dataDxfId="621" totalsRowDxfId="620"/>
    <tableColumn id="70" xr3:uid="{8AB60EC6-2503-4C64-93B5-EF0A15817646}" name="….." dataDxfId="619" totalsRowDxfId="618"/>
    <tableColumn id="71" xr3:uid="{E322C618-2AF7-4E39-8C00-05DB78D1E3E1}" name="Land (2)" dataDxfId="617" totalsRowDxfId="616">
      <calculatedColumnFormula>TblConstr[[#This Row],[Land]]</calculatedColumnFormula>
    </tableColumn>
    <tableColumn id="72" xr3:uid="{03634B5C-154E-4AC8-80E1-BA13BC9D96CD}" name="Time (2)" dataDxfId="615" totalsRowDxfId="614">
      <calculatedColumnFormula>TblImps[[#This Row],[Time]]</calculatedColumnFormula>
    </tableColumn>
    <tableColumn id="73" xr3:uid="{B2BF9056-6EBE-4C01-A8BD-B72B49E563E4}" name="…..." dataDxfId="613" totalsRowDxfId="612"/>
    <tableColumn id="74" xr3:uid="{E1DF0DF3-108E-4B1D-AD0D-B0438E0119B4}" name="Dest Hom" dataDxfId="611" totalsRowDxfId="610"/>
    <tableColumn id="75" xr3:uid="{E9A56C16-CD83-4CF4-801D-3F07F7F4410E}" name="Dest Alc" dataDxfId="609" totalsRowDxfId="608"/>
    <tableColumn id="76" xr3:uid="{83CFBDA2-FADE-4B08-B33E-9C2E9F9BF768}" name="Dest Farm" dataDxfId="607" totalsRowDxfId="606"/>
    <tableColumn id="77" xr3:uid="{19187257-0444-44F4-9D3D-6D0323F40019}" name="Dest Smi" dataDxfId="605" totalsRowDxfId="604"/>
    <tableColumn id="78" xr3:uid="{868AFE18-6FA1-48AB-ABF5-2F2AEFE5F988}" name="Dest Mas" dataDxfId="603" totalsRowDxfId="602"/>
    <tableColumn id="79" xr3:uid="{177B6B53-2F11-4209-8387-13A45749227F}" name="Dest Ly" dataDxfId="601" totalsRowDxfId="600"/>
    <tableColumn id="80" xr3:uid="{7546C506-76A9-4C40-A0E7-9A9D9E5AABE5}" name="Dest Hav" dataDxfId="599" totalsRowDxfId="598"/>
    <tableColumn id="81" xr3:uid="{ADDB86A6-E781-4DBE-8117-6F690916DDFA}" name="Dest OM" dataDxfId="597" totalsRowDxfId="596"/>
    <tableColumn id="82" xr3:uid="{B9BF98EC-18BF-465D-9531-8B38D89E91A0}" name="Dest GN" dataDxfId="595" totalsRowDxfId="594"/>
    <tableColumn id="83" xr3:uid="{E7A6D253-F3B2-42C8-99DD-B144C58FC0C5}" name="Dest Fac" dataDxfId="593" totalsRowDxfId="592"/>
    <tableColumn id="84" xr3:uid="{17104BBD-FC27-4D10-B29C-0273D3241FF4}" name="Dest GT" dataDxfId="591" totalsRowDxfId="590"/>
    <tableColumn id="85" xr3:uid="{99559D62-4D78-440A-98FE-DEBB129B435F}" name="Dest Bar" dataDxfId="589" totalsRowDxfId="588"/>
    <tableColumn id="86" xr3:uid="{9B2EEB8C-2FE8-47EE-A3E2-DC10DB45C7AB}" name="Dest Shr" dataDxfId="587" totalsRowDxfId="586"/>
    <tableColumn id="87" xr3:uid="{514D2AAA-E6E3-475E-9F65-8C732A78896D}" name="Dest Tow" dataDxfId="585" totalsRowDxfId="584"/>
    <tableColumn id="88" xr3:uid="{FAB7F148-62FD-4A01-9E52-E72AB5D98A80}" name="Dest Tem" dataDxfId="583" totalsRowDxfId="582"/>
    <tableColumn id="89" xr3:uid="{51F0AAF8-EA25-41BB-8274-29128D8E9309}" name="Dest WG" dataDxfId="581" totalsRowDxfId="580"/>
    <tableColumn id="90" xr3:uid="{B5DD0E4A-F9DA-46DF-AC1D-4C082F96D4FD}" name="Dest DM" dataDxfId="579" totalsRowDxfId="578"/>
    <tableColumn id="91" xr3:uid="{8374E536-FAFB-4695-B2E9-40E6A61A9D8E}" name="Dest Sch" dataDxfId="577" totalsRowDxfId="576"/>
    <tableColumn id="92" xr3:uid="{AB6E075B-E076-40E6-B2ED-7DBD5C2545B9}" name="Dest Doc" dataDxfId="575" totalsRowDxfId="574"/>
    <tableColumn id="93" xr3:uid="{A4B6EEF5-D4D4-4B9E-B020-F892CB1DC5F1}" name="…...." dataDxfId="573" totalsRowDxfId="572"/>
    <tableColumn id="94" xr3:uid="{A8785F66-A063-4182-BB5F-F2E489C44B8C}" name="Ch_Plain" dataDxfId="571" totalsRowDxfId="570">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69" totalsRowDxfId="568">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67" totalsRowDxfId="566">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65" totalsRowDxfId="564">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63" totalsRowDxfId="562">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61" totalsRowDxfId="560">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59" totalsRowDxfId="558">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57" totalsRowDxfId="556">
      <calculatedColumnFormula>IF(Explore!S4=1,20) - TblConstr[[#This Row],[Hom]] + TblConstr[[#This Row],[Dest Hom]]</calculatedColumnFormula>
    </tableColumn>
    <tableColumn id="102" xr3:uid="{A18B5339-7B5E-4FF1-B44C-54D91E2619B1}" name="…....." dataDxfId="555" totalsRowDxfId="554"/>
    <tableColumn id="103" xr3:uid="{4E3EEDB6-D8CB-4DA1-AC9F-29019C9A6FFC}" name="Total Plain" dataDxfId="553" totalsRowDxfId="552"/>
    <tableColumn id="104" xr3:uid="{669C7BA0-B3F2-47DA-B10D-81C2466FF6F3}" name="Total Forest" dataDxfId="551" totalsRowDxfId="550"/>
    <tableColumn id="105" xr3:uid="{B6EE778A-6E52-44FF-8691-B86F1650C2C2}" name="Total Mountain" dataDxfId="549" totalsRowDxfId="548"/>
    <tableColumn id="106" xr3:uid="{5FF89BD6-7921-4110-AD96-EA8B54555F1C}" name="Total Hill" dataDxfId="547" totalsRowDxfId="546"/>
    <tableColumn id="107" xr3:uid="{F920559E-5C73-4899-BC53-A9BA9E7DFC0C}" name="Total Swamp" dataDxfId="545" totalsRowDxfId="544"/>
    <tableColumn id="108" xr3:uid="{6462BCCF-F375-4DEC-B000-637E1187AA5E}" name="Total Cavern" dataDxfId="543" totalsRowDxfId="542"/>
    <tableColumn id="109" xr3:uid="{D966B8E0-E2CD-4374-AF05-B86C330B3BD4}" name="Total Water" dataDxfId="541" totalsRowDxfId="540"/>
    <tableColumn id="110" xr3:uid="{170A4E12-F563-448F-8964-EB5CA71BA3AF}" name="Homeland" dataDxfId="539" totalsRowDxfId="538">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537" totalsRowDxfId="536"/>
    <tableColumn id="114" xr3:uid="{EDC1B5E1-1E93-4946-BEC7-453EF5B18C9F}" name="Farms" dataDxfId="535" totalsRowDxfId="534">
      <calculatedColumnFormula>MAX(BA4-BA3,0)</calculatedColumnFormula>
    </tableColumn>
    <tableColumn id="115" xr3:uid="{1D02A65C-E8F6-4B66-A5EB-3699A9BE61C5}" name="Docks" totalsRowFunction="sum" dataDxfId="533" totalsRowDxfId="532">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531" dataDxfId="530" tableBorderDxfId="529">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528">
      <calculatedColumnFormula>TblRezone[[#This Row],[Hour]]</calculatedColumnFormula>
    </tableColumn>
    <tableColumn id="2" xr3:uid="{DFB120B6-BC70-4091-A005-99D4961CB538}" name="Land" dataDxfId="527">
      <calculatedColumnFormula>TblConstr[[#This Row],[Land]]</calculatedColumnFormula>
    </tableColumn>
    <tableColumn id="3" xr3:uid="{05C32193-1764-4A8E-B877-789E51BD1927}" name="." dataDxfId="526"/>
    <tableColumn id="4" xr3:uid="{2DBA3229-29BD-4F1F-B6CD-9E822C9071D7}" name="Plains" dataDxfId="525">
      <calculatedColumnFormula>TblConstr[[#This Row],[Plain]]</calculatedColumnFormula>
    </tableColumn>
    <tableColumn id="5" xr3:uid="{3D1FE633-D61E-4157-92AE-5E68F0C48770}" name="Forest" dataDxfId="524">
      <calculatedColumnFormula>TblConstr[[#This Row],[Forest]]</calculatedColumnFormula>
    </tableColumn>
    <tableColumn id="6" xr3:uid="{D9ABEDC6-9211-428A-B587-3CA9C3BF9744}" name="Mountn" dataDxfId="523">
      <calculatedColumnFormula>TblConstr[[#This Row],[Mountain]]</calculatedColumnFormula>
    </tableColumn>
    <tableColumn id="7" xr3:uid="{190BAA64-9D9E-4080-878D-BF035387620E}" name="Hills" dataDxfId="522">
      <calculatedColumnFormula>TblConstr[[#This Row],[Hill]]</calculatedColumnFormula>
    </tableColumn>
    <tableColumn id="8" xr3:uid="{812744CE-DEB7-4A8A-8374-CD5852E8C168}" name="Swamp" dataDxfId="521">
      <calculatedColumnFormula>TblConstr[[#This Row],[Swamp]]</calculatedColumnFormula>
    </tableColumn>
    <tableColumn id="9" xr3:uid="{96D79F63-015A-4655-975B-A1C99185A034}" name="Caverns" dataDxfId="520">
      <calculatedColumnFormula>TblConstr[[#This Row],[Cavern]]</calculatedColumnFormula>
    </tableColumn>
    <tableColumn id="10" xr3:uid="{607DA3E5-8D4A-44F4-A35C-DDAF32BE627C}" name="Water" dataDxfId="519">
      <calculatedColumnFormula>TblConstr[[#This Row],[Water]]</calculatedColumnFormula>
    </tableColumn>
    <tableColumn id="11" xr3:uid="{12EC2AC2-5FD3-4D82-8C37-DB70DCC56DC2}" name="Column2" dataDxfId="518"/>
    <tableColumn id="12" xr3:uid="{B171FE82-C8DE-44A1-89CE-409ED8DDD9D4}" name="Column3" dataDxfId="517"/>
    <tableColumn id="13" xr3:uid="{8C0085EE-E99F-4C98-9D66-144A50E3623C}" name="Column4" dataDxfId="516"/>
    <tableColumn id="14" xr3:uid="{5686D8FB-FF86-4148-AF9E-C03A97A84AF3}" name="Smithies" dataDxfId="515" dataCellStyle="Percent">
      <calculatedColumnFormula>TblMili[[#This Row],[Smithies]]</calculatedColumnFormula>
    </tableColumn>
    <tableColumn id="15" xr3:uid="{A0DC0A41-1987-4EE6-99BA-624DB6ACB9BF}" name="Employm." dataDxfId="514" dataCellStyle="Percent">
      <calculatedColumnFormula>TblPop[[#This Row],[Employment]]</calculatedColumnFormula>
    </tableColumn>
    <tableColumn id="16" xr3:uid="{7B85DEA6-C72D-4EAB-B18F-155B3A80E27B}" name="Popul." dataDxfId="513" dataCellStyle="Percent">
      <calculatedColumnFormula>TblImps[[#This Row],[Population]]</calculatedColumnFormula>
    </tableColumn>
    <tableColumn id="17" xr3:uid="{0BE33934-A790-4489-A3A2-E553E3C4AAEE}" name="Land (2)" dataDxfId="512">
      <calculatedColumnFormula>TblExplore[[#This Row],[Land]]</calculatedColumnFormula>
    </tableColumn>
    <tableColumn id="18" xr3:uid="{1EE849E8-6296-4479-BDA2-30E4622212E0}" name="Hour (2)" dataDxfId="511">
      <calculatedColumnFormula>TblExplore[[#This Row],[Hour]]</calculatedColumnFormula>
    </tableColumn>
    <tableColumn id="19" xr3:uid="{802EC67C-58E0-4E2B-9471-52B76B3F516A}" name="Land Bonus" dataDxfId="510"/>
    <tableColumn id="20" xr3:uid="{B1DC4E54-695A-4FE1-A303-67B047732E38}" name="Plains Explore" dataDxfId="509"/>
    <tableColumn id="21" xr3:uid="{28A63039-E9F4-4C91-BC61-38AFA90CBBA3}" name="Forest Explore" dataDxfId="508"/>
    <tableColumn id="22" xr3:uid="{52A3F218-67B7-4353-9DCD-90E402F80D3A}" name="Mountain Explore" dataDxfId="507"/>
    <tableColumn id="23" xr3:uid="{CADD78BB-1A84-4EF1-B568-74D7A7333BED}" name="Hill Explore" dataDxfId="506"/>
    <tableColumn id="24" xr3:uid="{86B12DCD-5E50-4631-800C-3D06D0C8407F}" name="Swamp Explore" dataDxfId="505"/>
    <tableColumn id="25" xr3:uid="{41A3F8D1-C19F-4B01-A125-BD6C5BE75F1D}" name="Cavern Explore" dataDxfId="504"/>
    <tableColumn id="26" xr3:uid="{DD83E77E-8C71-44A7-BF29-B8595544CC0D}" name="Water Explore" dataDxfId="503"/>
    <tableColumn id="27" xr3:uid="{6F68BDB2-663F-44CE-A108-1184CFBBBFB9}" name="Time" dataDxfId="502">
      <calculatedColumnFormula>TblImps[[#This Row],[Real time]]</calculatedColumnFormula>
    </tableColumn>
    <tableColumn id="28" xr3:uid="{0FBA88C1-4190-4A95-897B-20B88A072234}" name="Draftees" dataDxfId="501">
      <calculatedColumnFormula>TblMili[[#This Row],[Draftees]]</calculatedColumnFormula>
    </tableColumn>
    <tableColumn id="29" xr3:uid="{4EFD1992-02FD-4356-A327-EBEED01908DD}" name="Platinum" dataDxfId="500">
      <calculatedColumnFormula>TblProd[[#This Row],[Platinum]]</calculatedColumnFormula>
    </tableColumn>
    <tableColumn id="30" xr3:uid="{3D9A7B33-B273-4A01-8F7D-822B1BEB344B}" name=".." dataDxfId="499"/>
    <tableColumn id="31" xr3:uid="{EDB0F070-B31D-4B00-90A6-0A190E3CA80B}" name="Land-DB" dataDxfId="498">
      <calculatedColumnFormula>TblExplore[[#This Row],[Land]]-TblExplore[[#This Row],[Land Bonus]]*20</calculatedColumnFormula>
    </tableColumn>
    <tableColumn id="32" xr3:uid="{B94D1074-50E9-44F1-8957-6BE450DE4BF0}" name="Plat/acre" dataDxfId="497">
      <calculatedColumnFormula>ROUND((0.6*TblExplore[[#This Row],[Land-DB]]^1.299 + IF(TblExplore[[#This Row],[Land-DB]]&lt;1520, (-0.001*(TblExplore[[#This Row],[Land-DB]]^2)+1.91*TblExplore[[#This Row],[Land-DB]]-593), 0))*(1+ tech_2_6*Techs!AC4 + tech_2_9*Techs!AF4 + tech_3_7*Techs!AN4 + Overview!$I$33),0)</calculatedColumnFormula>
    </tableColumn>
    <tableColumn id="33" xr3:uid="{F0CBDA56-E75F-4156-B9BD-681857934D22}" name="Draftees/acre" dataDxfId="496">
      <calculatedColumnFormula>_xlfn.FLOOR.MATH(TblExplore[[#This Row],[Land-DB]]/150)+3+tech_2_9_2*TblTech[[#This Row],[2-9]]+tech_3_7_2*TblTech[[#This Row],[3-7]]</calculatedColumnFormula>
    </tableColumn>
    <tableColumn id="34" xr3:uid="{FCB11E8B-2CF1-408C-B51A-7901C753C76F}" name="Platinum (2)" dataDxfId="495">
      <calculatedColumnFormula>SUM(TblExplore[[#This Row],[Plains Explore]:[Water Explore]])*TblExplore[[#This Row],[Plat/acre]]</calculatedColumnFormula>
    </tableColumn>
    <tableColumn id="35" xr3:uid="{61575F8F-5343-43C9-858D-AF8501368779}" name="Draftees (2)" dataDxfId="494">
      <calculatedColumnFormula>SUM(TblExplore[[#This Row],[Plains Explore]:[Water Explore]])*TblExplore[[#This Row],[Draftees/acre]]</calculatedColumnFormula>
    </tableColumn>
    <tableColumn id="36" xr3:uid="{BD4C2C0C-7F81-4BE8-9828-9CFCFFAFF394}" name="Max Explore" dataDxfId="493">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92" dataDxfId="491" tableBorderDxfId="490">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89">
      <calculatedColumnFormula>TblConstr[[#This Row],[Land]]</calculatedColumnFormula>
    </tableColumn>
    <tableColumn id="2" xr3:uid="{09D3C0EB-2481-406C-ABC2-3B9FE0683D68}" name="Plains" dataDxfId="488">
      <calculatedColumnFormula>TblConstr[[#This Row],[Plain]]</calculatedColumnFormula>
    </tableColumn>
    <tableColumn id="3" xr3:uid="{E95763D4-88E5-487A-9912-CB5FED512375}" name="Forest" dataDxfId="487">
      <calculatedColumnFormula>TblConstr[[#This Row],[Forest]]</calculatedColumnFormula>
    </tableColumn>
    <tableColumn id="4" xr3:uid="{62B2173B-885E-48E7-B615-089739267B8E}" name="Mountains" dataDxfId="486">
      <calculatedColumnFormula>TblConstr[[#This Row],[Mountain]]</calculatedColumnFormula>
    </tableColumn>
    <tableColumn id="5" xr3:uid="{4FA61465-41A2-4497-AB2D-7B63B7113E12}" name="Hills" dataDxfId="485">
      <calculatedColumnFormula>TblConstr[[#This Row],[Hill]]</calculatedColumnFormula>
    </tableColumn>
    <tableColumn id="6" xr3:uid="{FC27A0D5-6BB5-414B-8DEB-98AD07E7EBFF}" name="Swamp" dataDxfId="484">
      <calculatedColumnFormula>TblConstr[[#This Row],[Swamp]]</calculatedColumnFormula>
    </tableColumn>
    <tableColumn id="7" xr3:uid="{E95EDCE9-4D0A-4F4F-80D0-F52A495BDAE2}" name="Caverns" dataDxfId="483">
      <calculatedColumnFormula>TblConstr[[#This Row],[Cavern]]</calculatedColumnFormula>
    </tableColumn>
    <tableColumn id="8" xr3:uid="{4D162EFF-D831-41C8-9A17-B9113296E43B}" name="Water" dataDxfId="482">
      <calculatedColumnFormula>TblConstr[[#This Row],[Water]]</calculatedColumnFormula>
    </tableColumn>
    <tableColumn id="9" xr3:uid="{D55A4201-089D-415F-8D4D-3ECCCB36C63A}" name="." dataDxfId="481"/>
    <tableColumn id="10" xr3:uid="{DD5BAECA-959B-44B4-BFE4-04100EF42CEE}" name="Hour" dataDxfId="480">
      <calculatedColumnFormula>J3+1</calculatedColumnFormula>
    </tableColumn>
    <tableColumn id="11" xr3:uid="{BBC04AC2-481C-43B9-8F7E-DA11BD9865DF}" name="Time" dataDxfId="479">
      <calculatedColumnFormula>TblImps[[#This Row],[Real time]]</calculatedColumnFormula>
    </tableColumn>
    <tableColumn id="12" xr3:uid="{D6C776EF-706C-4E21-B5A7-00C9AD08F8F2}" name="Plains Rezone" dataDxfId="478"/>
    <tableColumn id="13" xr3:uid="{8517A176-425D-4D28-9953-4EC1AA93C82D}" name="Forest Rezone" dataDxfId="477"/>
    <tableColumn id="14" xr3:uid="{6C6986FB-4B34-4620-9F5C-E204CA007C29}" name="Mountain Rezone" dataDxfId="476"/>
    <tableColumn id="15" xr3:uid="{A238C8DA-37C8-4B93-BDB9-803627A51455}" name="Hill Rezone" dataDxfId="475"/>
    <tableColumn id="16" xr3:uid="{6F93D167-46BB-49F9-99E2-4FE4FA89F6F6}" name="Swamp Rezone" dataDxfId="474"/>
    <tableColumn id="17" xr3:uid="{2891557D-037E-43FE-B080-6B5406778FAE}" name="Cavern Rezone" dataDxfId="473"/>
    <tableColumn id="18" xr3:uid="{C6630C4B-97F3-4512-833F-587ADB90804D}" name="Water Rezone" dataDxfId="472"/>
    <tableColumn id="19" xr3:uid="{71938840-BA0F-4F0E-90C2-866B3EEED32E}" name="Total acres" dataDxfId="471">
      <calculatedColumnFormula>SUMIF(TblRezone[[#This Row],[Plains Rezone]:[Water Rezone]],"&gt;0")</calculatedColumnFormula>
    </tableColumn>
    <tableColumn id="20" xr3:uid="{A48C796B-764B-4744-95D2-0DB5292F5562}" name="Ok?" dataDxfId="470">
      <calculatedColumnFormula>IF(SUM(TblRezone[[#This Row],[Plains Rezone]:[Water Rezone]])=0,"Ok","Nope")</calculatedColumnFormula>
    </tableColumn>
    <tableColumn id="21" xr3:uid="{2EBFAAC1-440A-44F3-A930-C229C35B9BD3}" name=".." dataDxfId="469"/>
    <tableColumn id="22" xr3:uid="{2020F260-8DB5-44E6-A131-B44D79AF6B62}" name="Platinum" dataDxfId="468">
      <calculatedColumnFormula>TblProd[[#This Row],[Platinum]]</calculatedColumnFormula>
    </tableColumn>
    <tableColumn id="23" xr3:uid="{81A5A213-A750-4DD5-8456-6B104D493CA4}" name="…" dataDxfId="467"/>
    <tableColumn id="24" xr3:uid="{8EF28125-DA30-4482-ADE4-2B916A90CAD2}" name="Plat/acre" dataDxfId="466">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65">
      <calculatedColumnFormula>TblRezone[[#This Row],[Total acres]]*TblRezone[[#This Row],[Plat/acre]]</calculatedColumnFormula>
    </tableColumn>
    <tableColumn id="26" xr3:uid="{685D7DEA-DD3C-4385-BEC6-C5DBEEE6B44D}" name="…." dataDxfId="464"/>
    <tableColumn id="27" xr3:uid="{44BE000A-0846-46D4-B9B4-8728EC5881AB}" name="Plat/acre*" dataDxfId="463">
      <calculatedColumnFormula>(250+0.6*(TblRezone[[#This Row],[Land]]-250))</calculatedColumnFormula>
    </tableColumn>
    <tableColumn id="28" xr3:uid="{3AFBA97F-9340-4669-BF68-67D7B351BBD4}" name="….." dataDxfId="462"/>
    <tableColumn id="29" xr3:uid="{D8C9DC04-80EE-49BF-BEDB-6FEC536A5F93}" name="Facs" dataDxfId="461">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460" dataDxfId="458" headerRowBorderDxfId="459" tableBorderDxfId="457">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456">
      <calculatedColumnFormula>TblRezone[[#This Row],[Hour]]</calculatedColumnFormula>
    </tableColumn>
    <tableColumn id="2" xr3:uid="{EAC413AF-EC0E-4C34-B6C3-F5AE2181B0A0}" name="Military" dataDxfId="455">
      <calculatedColumnFormula>SUM(TblMili[[#This Row],[Unit 1]:[Archmages]])+SUM(TblMili[[#This Row],[Train Unit 1]:[Train Unit 4]])+TblMili[[#This Row],[Draftees]]</calculatedColumnFormula>
    </tableColumn>
    <tableColumn id="3" xr3:uid="{B9847F02-8883-462E-B245-62A25138A973}" name="Military%" dataDxfId="454">
      <calculatedColumnFormula>TblPop[[#This Row],[Military%]]</calculatedColumnFormula>
    </tableColumn>
    <tableColumn id="4" xr3:uid="{873B66D3-9A4C-4CF2-ADD1-BF3696F9A721}" name="." dataDxfId="453"/>
    <tableColumn id="5" xr3:uid="{FC5A3C7C-0387-4B98-9BB7-AC3A387EAFF0}" name="Unit 1" dataDxfId="452">
      <calculatedColumnFormula>OFFSET(TblMili[[#This Row],[Unit 1]],-1,0) - TblMili[[#This Row],[Release Unit 1]]</calculatedColumnFormula>
    </tableColumn>
    <tableColumn id="6" xr3:uid="{A8BE2C9D-1318-46BD-B50B-D87014E90395}" name="Unit 2" dataDxfId="451">
      <calculatedColumnFormula>OFFSET(TblMili[[#This Row],[Unit 2]],-1,0)-TblMili[[#This Row],[Release Unit 2]]</calculatedColumnFormula>
    </tableColumn>
    <tableColumn id="7" xr3:uid="{49487FD4-4EF4-4722-A4A4-FCC0DD98F9F2}" name="Unit 3" dataDxfId="450">
      <calculatedColumnFormula>OFFSET(TblMili[[#This Row],[Unit 3]],-1,0)-TblMili[[#This Row],[Release Unit 3]]</calculatedColumnFormula>
    </tableColumn>
    <tableColumn id="8" xr3:uid="{739E7790-2960-445C-A5B2-C6064A881CDF}" name="Unit 4" dataDxfId="449">
      <calculatedColumnFormula>OFFSET(TblMili[[#This Row],[Unit 4]],-1,0)-TblMili[[#This Row],[Release Unit 4]]</calculatedColumnFormula>
    </tableColumn>
    <tableColumn id="9" xr3:uid="{0DB25EC0-D296-415A-BF65-DA60D7174CD2}" name="Spies" dataDxfId="448">
      <calculatedColumnFormula>OFFSET(TblMili[[#This Row],[Spies]],-1,0)-TblMili[[#This Row],[Release Spies]]</calculatedColumnFormula>
    </tableColumn>
    <tableColumn id="109" xr3:uid="{1E772BA5-219C-4FDC-ABC4-BDFC09C3EC97}" name="Archspies" dataDxfId="447"/>
    <tableColumn id="10" xr3:uid="{1B32AEAE-0DB3-4DD4-8543-1BD37596FD6C}" name="Wizards" dataDxfId="446">
      <calculatedColumnFormula>OFFSET(TblMili[[#This Row],[Wizards]],-1,0)-TblMili[[#This Row],[Release Wizards]]-TblMili[[#This Row],[Train AM]]</calculatedColumnFormula>
    </tableColumn>
    <tableColumn id="11" xr3:uid="{ED512AF5-16B2-421C-BF95-07157DB57B9D}" name="Archmages" dataDxfId="445">
      <calculatedColumnFormula>OFFSET(TblMili[[#This Row],[Archmages]],-1,0)-TblMili[[#This Row],[Release AM]]</calculatedColumnFormula>
    </tableColumn>
    <tableColumn id="12" xr3:uid="{CADE9B79-5861-46C5-8C69-B19C0F0551CF}" name=".." dataDxfId="444"/>
    <tableColumn id="13" xr3:uid="{18901E43-A967-4D1C-A56F-B4449A6C28E5}" name="Networth" dataDxfId="443">
      <calculatedColumnFormula>TblProd[[#This Row],[Networth]]</calculatedColumnFormula>
    </tableColumn>
    <tableColumn id="14" xr3:uid="{2F50B0FF-1C90-493E-BE67-86AFE22B6059}" name="…" dataDxfId="442"/>
    <tableColumn id="15" xr3:uid="{800A8F5F-B777-4995-AD6F-4DF929E0A477}" name="Raw" dataDxfId="441">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440">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439">
      <calculatedColumnFormula>TblMili[[#This Row],[Raw]]*(1+TblMili[[#This Row],[Mods_Off]])</calculatedColumnFormula>
    </tableColumn>
    <tableColumn id="18" xr3:uid="{49AD1BCC-C9BC-46CD-8B38-93838D61E9DD}" name="Non Draft" dataDxfId="438">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437">
      <calculatedColumnFormula>TblMili[[#This Row],[Non Draft]]+TblMili[[#This Row],[Draftees]]</calculatedColumnFormula>
    </tableColumn>
    <tableColumn id="20" xr3:uid="{C64B2C83-F9B3-427D-8326-C6954139623D}" name="Mods_Def" dataDxfId="436">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435" dataCellStyle="Comma">
      <calculatedColumnFormula>TblMili[[#This Row],[Non Draft]] * (1 + TblMili[[#This Row],[Mods_Def]])</calculatedColumnFormula>
    </tableColumn>
    <tableColumn id="22" xr3:uid="{EA8914C0-CD98-4E5C-A923-EA0F9E30F1EA}" name="Draft (mod)" dataDxfId="434">
      <calculatedColumnFormula>TblMili[[#This Row],[Draft]] * (1 + TblMili[[#This Row],[Mods_Def]])</calculatedColumnFormula>
    </tableColumn>
    <tableColumn id="23" xr3:uid="{EAC9356D-CE42-4256-BB93-BF208B480555}" name="Land" dataDxfId="433">
      <calculatedColumnFormula>TblConstr[[#This Row],[Land]]</calculatedColumnFormula>
    </tableColumn>
    <tableColumn id="24" xr3:uid="{D4A87242-2EDC-47D9-8CA4-84D822469E1B}" name="Set" dataDxfId="432"/>
    <tableColumn id="25" xr3:uid="{448088C9-E1C1-47E6-9443-BE83ECC5C2F2}" name="Draftrate" dataDxfId="431" dataCellStyle="Percent">
      <calculatedColumnFormula>IF(TblMili[[#This Row],[Set]]&lt;&gt;"",TblMili[[#This Row],[Set]],OFFSET(TblMili[[#This Row],[Draftrate]],-1,0))</calculatedColumnFormula>
    </tableColumn>
    <tableColumn id="26" xr3:uid="{EE8F6844-A68F-416E-B5A0-7B6FA4C5DE98}" name="Draftees" dataDxfId="430">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429"/>
    <tableColumn id="28" xr3:uid="{0B20A7CE-7BB6-4469-889B-DF744233C462}" name="Smithies" dataDxfId="428" dataCellStyle="Percent">
      <calculatedColumnFormula>(TblConstr[[#This Row],[Tot Smi]]+TblConstr[[#This Row],[Dest Smi]])/(TblConstr[[#This Row],[Land]]-TblExplore[[#This Row],[Land Bonus]]*20)</calculatedColumnFormula>
    </tableColumn>
    <tableColumn id="29" xr3:uid="{A03A8504-EBEF-4639-9EE4-238592848C94}" name="….." dataDxfId="427"/>
    <tableColumn id="30" xr3:uid="{4B521A36-EE77-42BE-850C-0D858F3717A6}" name="Hour (2)" dataDxfId="426">
      <calculatedColumnFormula>TblMili[[#This Row],[Hour]]</calculatedColumnFormula>
    </tableColumn>
    <tableColumn id="31" xr3:uid="{D44FE507-2C86-49D9-BC07-83C7B27BB255}" name="Time" dataDxfId="425">
      <calculatedColumnFormula>TblExplore[[#This Row],[Time]]</calculatedColumnFormula>
    </tableColumn>
    <tableColumn id="32" xr3:uid="{0DAD6AB9-2259-4821-8771-37863F1ED4CC}" name="Train Unit 1" dataDxfId="424"/>
    <tableColumn id="33" xr3:uid="{0E43B866-578B-4060-84D1-01656CB368A4}" name="Train Unit 2" dataDxfId="423"/>
    <tableColumn id="34" xr3:uid="{3AAC979B-4FF3-4EFF-8F6E-BD28BBE2B8BD}" name="Train Unit 3" dataDxfId="422"/>
    <tableColumn id="35" xr3:uid="{EC6B8083-BC72-4376-9760-2275CF62C1A6}" name="Train Unit 4" dataDxfId="421"/>
    <tableColumn id="36" xr3:uid="{DE15CA92-2C69-4205-88B3-DE37F5AAF9A6}" name="Train Spies" dataDxfId="420"/>
    <tableColumn id="107" xr3:uid="{917516D6-B00F-4F57-ADB0-6C22D2A96B9F}" name="Train AS" dataDxfId="419"/>
    <tableColumn id="37" xr3:uid="{97770C71-624D-4E73-A8AD-D79927F45908}" name="Train Wiz" dataDxfId="418"/>
    <tableColumn id="38" xr3:uid="{4E456233-AA67-4D90-9179-339EBD335F62}" name="Train AM" dataDxfId="417"/>
    <tableColumn id="111" xr3:uid="{54F0D0ED-12E4-4C6A-9A83-21A22A24F933}" name="DnD_Zombies" dataDxfId="416">
      <calculatedColumnFormula>ROUND(IF(AND(TblMagic[[#This Row],[Active DnD]]&lt;12,TblMagic[[#This Row],[Active DnD]]&gt;5),OFFSET(TblPop[[#This Row],[Draft Growth]],-1,0)*0.375,0),0)</calculatedColumnFormula>
    </tableColumn>
    <tableColumn id="39" xr3:uid="{29C90460-5421-4EA7-A4CB-BDA1C40BF8A1}" name="  " dataDxfId="415"/>
    <tableColumn id="40" xr3:uid="{2C04ED42-9AAF-4375-A8D4-18DA4B397FAA}" name="Platinum" dataDxfId="414">
      <calculatedColumnFormula>TblProd[[#This Row],[Platinum]]</calculatedColumnFormula>
    </tableColumn>
    <tableColumn id="41" xr3:uid="{122C6EDE-4C24-4A3C-9FA2-6A7942348604}" name="Secondary recource" dataDxfId="413">
      <calculatedColumnFormula>INDEX(TblProd[[#Headers],[Lumber]]:TblProd[[#This Row],[Ore]],COUNTA(TblProd[[#Headers],[Lumber]]:TblProd[[#This Row],[Lumber]]),MATCH(Military!$AR$2,TblProd[[#Headers],[Lumber]:[Ore]],0))</calculatedColumnFormula>
    </tableColumn>
    <tableColumn id="42" xr3:uid="{AD4D72D1-3860-48CA-B3DA-ADFB8307154A}" name="Plat Cost" dataDxfId="41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41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410">
      <calculatedColumnFormula>TblMili[[#This Row],[Hour]]</calculatedColumnFormula>
    </tableColumn>
    <tableColumn id="45" xr3:uid="{20B1F70F-03BF-43F5-9126-6B2FF45FE149}" name="Time " dataDxfId="409">
      <calculatedColumnFormula>TblMili[[#This Row],[Time]]</calculatedColumnFormula>
    </tableColumn>
    <tableColumn id="46" xr3:uid="{32831987-A30D-4329-BB1C-DB47E6B77B54}" name="Draftees    " dataDxfId="408">
      <calculatedColumnFormula>TblMili[[#This Row],[Draftees]]</calculatedColumnFormula>
    </tableColumn>
    <tableColumn id="47" xr3:uid="{7EBE7BE4-37D1-4B52-B049-F9BE4ABBBADC}" name="Release Draft" dataDxfId="407"/>
    <tableColumn id="48" xr3:uid="{C3BB0EE7-6180-4099-B663-EFA3F1503DB3}" name="Release Unit 1" dataDxfId="406"/>
    <tableColumn id="49" xr3:uid="{EDF7E463-807D-4CE2-B63E-18766260768C}" name="Release Unit 2" dataDxfId="405"/>
    <tableColumn id="50" xr3:uid="{A1BE9DD8-455A-4FAA-8154-5BB2D1A53261}" name="Release Unit 3" dataDxfId="404"/>
    <tableColumn id="51" xr3:uid="{4FE1D56E-EA47-4DF6-B5A4-E78C1D5F5774}" name="Release Unit 4" dataDxfId="403"/>
    <tableColumn id="52" xr3:uid="{F0F9CB78-BA40-4031-AC17-0AB88B159B60}" name="Release Spies" dataDxfId="402"/>
    <tableColumn id="108" xr3:uid="{118BE0C9-E863-4E5F-98D5-187B99319B85}" name="Release AS" dataDxfId="401"/>
    <tableColumn id="53" xr3:uid="{3CC7AC8A-814F-42C4-B491-A6DFD7A4A93E}" name="Release Wizards" dataDxfId="400"/>
    <tableColumn id="54" xr3:uid="{BCB616C3-3465-4473-B27B-B25584160E71}" name="Release AM" dataDxfId="399"/>
    <tableColumn id="55" xr3:uid="{6B6EC03F-2A6A-47EB-A7F1-0DFE335A330A}" name="   " dataDxfId="398"/>
    <tableColumn id="56" xr3:uid="{71F6F49D-CD22-4E5F-BBB5-61150307312C}" name="WG's" dataDxfId="397">
      <calculatedColumnFormula>TblConstr[[#This Row],[Tot WG]]/TblConstr[[#This Row],[Land]]</calculatedColumnFormula>
    </tableColumn>
    <tableColumn id="57" xr3:uid="{B8AC3F70-AED4-4E5E-9FFD-FF94CB39B791}" name="FH's" dataDxfId="396">
      <calculatedColumnFormula>TblConstr[[#This Row],[Tot Hav]]/TblConstr[[#This Row],[Land]]</calculatedColumnFormula>
    </tableColumn>
    <tableColumn id="58" xr3:uid="{140FE3B0-18E6-43AA-A625-E817354E2D53}" name="OP Plat" dataDxfId="395">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94">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93">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92">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91">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90">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89">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88">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87">
      <calculatedColumnFormula>ROUNDUP((1-MIN(ROUND(fh_spy_cost_red*TblMili[[#This Row],[FH''s]],4),fh_spy_cost_cap)+ tech_1_9*TblTech[[#This Row],[1-9]] + tech_9_1*TblTech[[#This Row],[9-1]])*spy_plat,0)</calculatedColumnFormula>
    </tableColumn>
    <tableColumn id="110" xr3:uid="{E3910BF3-0412-473B-852A-F6A0FE497DE5}" name="ASs Cost" dataDxfId="386">
      <calculatedColumnFormula>ROUNDUP((1-MIN(ROUND(fh_spy_cost_red*TblMili[[#This Row],[FH''s]],4),fh_spy_cost_cap)+ tech_1_9*TblTech[[#This Row],[1-9]] + tech_9_1*TblTech[[#This Row],[9-1]])*archspy_plat,0)</calculatedColumnFormula>
    </tableColumn>
    <tableColumn id="67" xr3:uid="{CDB40042-773A-4CE1-B670-B62BC884A947}" name="Wizzies cost" dataDxfId="385">
      <calculatedColumnFormula>ROUNDUP((1-MIN(ROUND(wg_wiz_cost_bonus*TblMili[[#This Row],[WG''s]],4),wg_wiz_cost_cap) + tech_1_9_2*TblTech[[#This Row],[1-9]] + tech_9_1_2*TblTech[[#This Row],[9-1]])*wizard_plat,0)</calculatedColumnFormula>
    </tableColumn>
    <tableColumn id="68" xr3:uid="{1053234A-AE18-4A82-94FC-D94692087DE3}" name="AMs cost" dataDxfId="384">
      <calculatedColumnFormula>ROUNDUP((1-MIN(ROUND(wg_wiz_cost_bonus*TblMili[[#This Row],[WG''s]],4),wg_wiz_cost_cap) + tech_1_9_2*TblTech[[#This Row],[1-9]] + tech_9_1_2*TblTech[[#This Row],[9-1]])*archmage_plat,0)</calculatedColumnFormula>
    </tableColumn>
    <tableColumn id="69" xr3:uid="{9D11DA92-CF6B-4838-B51B-494833977486}" name=" " dataDxfId="383"/>
    <tableColumn id="70" xr3:uid="{1F713D65-CE26-4E75-AF9C-1E2610D02FB6}" name="Homeland%" dataDxfId="382">
      <calculatedColumnFormula>TblConstr[[#This Row],[Homeland]]/TblConstr[[#This Row],[Land]]</calculatedColumnFormula>
    </tableColumn>
    <tableColumn id="71" xr3:uid="{FBD620E0-8F97-4BED-916D-A8962B459E13}" name="WG" dataDxfId="381">
      <calculatedColumnFormula>TblMili[[#This Row],[WG''s]]</calculatedColumnFormula>
    </tableColumn>
    <tableColumn id="72" xr3:uid="{0F482B90-6164-42A0-AC1A-EB6CBE2239E0}" name="Mystic" dataDxfId="380">
      <calculatedColumnFormula>IF(mystic_cap="none",TblMili[[#This Row],[Homeland%]]/mystic_bonus,MIN(mystic_cap,TblMili[[#This Row],[Homeland%]]/mystic_bonus))</calculatedColumnFormula>
    </tableColumn>
    <tableColumn id="73" xr3:uid="{2FD25056-5068-463F-8553-3D2CFBDBD80D}" name="Druid (op)" dataDxfId="379">
      <calculatedColumnFormula>IF(druid_op_cap="none",TblMili[[#This Row],[Homeland%]]/druid_op_bonus,MIN(druid_op_cap,TblMili[[#This Row],[Homeland%]]/druid_op_bonus))</calculatedColumnFormula>
    </tableColumn>
    <tableColumn id="74" xr3:uid="{53018DF3-E735-41C7-A3D0-8E634866C57E}" name="Druid (dp)" dataDxfId="378">
      <calculatedColumnFormula>IF(druid_dp_cap="none",TblMili[[#This Row],[Homeland%]]/druid_dp_bonus,MIN(druid_dp_cap,TblMili[[#This Row],[Homeland%]]/druid_dp_bonus))</calculatedColumnFormula>
    </tableColumn>
    <tableColumn id="75" xr3:uid="{7F4EE74D-9905-4DF0-A5F6-DDC9D0115356}" name="Dryad" dataDxfId="377">
      <calculatedColumnFormula>MIN(dryad_cap,TblMili[[#This Row],[Homeland%]]/dryad_bonus)</calculatedColumnFormula>
    </tableColumn>
    <tableColumn id="76" xr3:uid="{E7F9826C-05CD-49D4-95DF-ECCD467D1341}" name="Rockapult" dataDxfId="376">
      <calculatedColumnFormula>MIN(rocka_cap,TblMili[[#This Row],[Homeland%]]/rocka_bonus)</calculatedColumnFormula>
    </tableColumn>
    <tableColumn id="77" xr3:uid="{A26FFF73-DC56-4E66-8A0E-51A9C837AE8D}" name="Spellblade" dataDxfId="375">
      <calculatedColumnFormula>MIN(adept_op_cap,TblMili[[#This Row],[WG]]/adept_op_bonus)</calculatedColumnFormula>
    </tableColumn>
    <tableColumn id="78" xr3:uid="{A5F9372F-5EBA-4E5A-AB3F-5A786DE5FEB0}" name="Adept-DP" dataDxfId="374">
      <calculatedColumnFormula>MIN(adept_dp_cap,TblMili[[#This Row],[WG]]/adept_dp_bonus)</calculatedColumnFormula>
    </tableColumn>
    <tableColumn id="79" xr3:uid="{FF50DABE-A375-4222-848D-9C4D1D0FC999}" name="Beasts" dataDxfId="373">
      <calculatedColumnFormula>MIN(TblMili[[#This Row],[Unit 3]],TblMili[[#This Row],[Unit 2]])*2</calculatedColumnFormula>
    </tableColumn>
    <tableColumn id="80" xr3:uid="{FFCDA044-2FD9-4119-B82B-7914D887B7F4}" name="Overlords" dataDxfId="372">
      <calculatedColumnFormula>MIN(TblMili[[#This Row],[Unit 1]],TblMili[[#This Row],[Unit 4]])*2</calculatedColumnFormula>
    </tableColumn>
    <tableColumn id="81" xr3:uid="{00DE2C4D-2323-42A0-B749-2FB5F4E28DBF}" name="Frost Mage" dataDxfId="371">
      <calculatedColumnFormula>MIN(frost_mage_cap,TblMili[[#This Row],[Homeland%]]/frost_mage_bonus)</calculatedColumnFormula>
    </tableColumn>
    <tableColumn id="82" xr3:uid="{BB055F70-3593-48E8-A32F-2C3BC4E6D218}" name="Ice Elemental" dataDxfId="370">
      <calculatedColumnFormula>MIN(ice_elem_cap,TblMili[[#This Row],[Raw (2)]]*ice_elem_bonus)</calculatedColumnFormula>
    </tableColumn>
    <tableColumn id="83" xr3:uid="{1158BE59-7C9D-4D41-AE99-4249CB18E29F}" name="Orc" dataDxfId="369">
      <calculatedColumnFormula>MIN(bone_breaker_cap,250/bone_breaker_bonus)</calculatedColumnFormula>
    </tableColumn>
    <tableColumn id="84" xr3:uid="{76252BAC-90E5-49A7-B5F9-E399F71EA45D}" name="Nox" dataDxfId="368">
      <calculatedColumnFormula>MIN(nox_nightshade_cap,TblConstr[[#This Row],[Homeland]]/TblConstr[[#This Row],[Land]]/nox_nightshade_swamp_bonus)</calculatedColumnFormula>
    </tableColumn>
    <tableColumn id="113" xr3:uid="{4A27EC0B-8E58-4935-B9BC-28BBFBF14B3B}" name="Abyssal Enforcer" dataDxfId="367">
      <calculatedColumnFormula>MIN(TblConstr[[#This Row],[Total Swamp]]/TblConstr[[#This Row],[Land]]/abyss_enforce_bonus,abyss_enforcer_cap)</calculatedColumnFormula>
    </tableColumn>
    <tableColumn id="112" xr3:uid="{784D98C7-E60A-4D20-854E-4FCCFEFCDE00}" name="Infernal Command OP" dataDxfId="366">
      <calculatedColumnFormula>IF(TblMagic[[#This Row],[Active Infernal Command]]&gt;0,TblMili[[#This Row],[Unit 1]]*infernal_cmd_op,0)</calculatedColumnFormula>
    </tableColumn>
    <tableColumn id="85" xr3:uid="{1DFCAA2E-8651-447E-895D-82655A45DF53}" name="Column36" dataDxfId="365"/>
    <tableColumn id="86" xr3:uid="{2B117F31-500F-4EF5-A943-EA4E7192FD0F}" name="Column37" dataDxfId="364"/>
    <tableColumn id="87" xr3:uid="{F3D20B86-D78F-4794-87F9-C555822D3041}" name="Column38" dataDxfId="363"/>
    <tableColumn id="88" xr3:uid="{BDEF093C-2660-4215-8999-F98F4344DFB8}" name="Mystic bonus" dataDxfId="362">
      <calculatedColumnFormula>MIN(6,TblMili[[#This Row],[Mystic]]+Races!$F$19)*1.8 +  IF(TblMili[[#This Row],[Mystic]]+Races!$F$19&gt;6,(TblMili[[#This Row],[Mystic]]+Races!$F$19-6)*0.2,0) - Races!$I$19</calculatedColumnFormula>
    </tableColumn>
    <tableColumn id="89" xr3:uid="{46F4DC63-3122-4751-919D-25DE59A7EF66}" name="Druid bonus" dataDxfId="361">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360">
      <calculatedColumnFormula>TblMili[[#This Row],[Mystic bonus]]*TblMili[[#This Row],[Unit 3]]+TblMili[[#This Row],[Druid bonus]]*TblMili[[#This Row],[Unit 4]]</calculatedColumnFormula>
    </tableColumn>
    <tableColumn id="91" xr3:uid="{4EE98187-D861-41F7-99BA-17048C4D8D34}" name="Dryad bonus" dataDxfId="359">
      <calculatedColumnFormula>MIN(6,TblMili[[#This Row],[Dryad]]+Races!$F$35)*1.8 +  IF(TblMili[[#This Row],[Dryad]]+Races!$F$35&gt;6,(TblMili[[#This Row],[Dryad]]+Races!$F$35-6)*0.2,0) - Races!$I$19</calculatedColumnFormula>
    </tableColumn>
    <tableColumn id="92" xr3:uid="{4D0FBA77-63EB-4AF7-AA3C-BF4D432786D2}" name="Sylvan bonus" dataDxfId="358">
      <calculatedColumnFormula>sylvan*(TblMili[[#This Row],[Mystic bonus]]*TblMili[[#This Row],[Unit 3]])</calculatedColumnFormula>
    </tableColumn>
    <tableColumn id="93" xr3:uid="{9CB7A2CE-8BEC-402B-B1F0-5A1153673E45}" name="Rockapult bonus" dataDxfId="357">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356">
      <calculatedColumnFormula>gnome*(TblMili[[#This Row],[Rockapult bonus]]*TblMili[[#This Row],[Unit 3]])</calculatedColumnFormula>
    </tableColumn>
    <tableColumn id="95" xr3:uid="{A02C2188-BFCD-4178-8B64-B969D4D2D97B}" name="Adept bonus" dataDxfId="355">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354">
      <calculatedColumnFormula>dark_elf*(TblMili[[#This Row],[Adept bonus]]*TblMili[[#This Row],[Unit 3]])</calculatedColumnFormula>
    </tableColumn>
    <tableColumn id="97" xr3:uid="{19730E51-BC55-444F-8E03-4B3A51C0E3D8}" name="Frost Mage bonus" dataDxfId="353">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352">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351">
      <calculatedColumnFormula>TblMili[[#This Row],[Frost Mage bonus]]*TblMili[[#This Row],[Unit 3]]+TblMili[[#This Row],[Ice Elemental bonus]]*TblMili[[#This Row],[Unit 4]]</calculatedColumnFormula>
    </tableColumn>
    <tableColumn id="100" xr3:uid="{A2072E36-3982-4B78-93F1-3B2C7DD41EB6}" name="Column46" dataDxfId="350"/>
    <tableColumn id="101" xr3:uid="{AA2C19ED-CD7C-4497-8949-4735D8380A50}" name="Favorable Terrain Bonus" dataDxfId="349" dataCellStyle="Percent">
      <calculatedColumnFormula>MIN(SUM(TblConstr[[#This Row],[Plain]:[Water]])/TblMili[[#This Row],[Land]]/favorable_terrain_bonus/100,favorable_terrain_max)</calculatedColumnFormula>
    </tableColumn>
    <tableColumn id="102" xr3:uid="{045A1C5D-FFD7-4F37-8C55-3E1C6325D69C}" name="Column48" dataDxfId="348"/>
    <tableColumn id="103" xr3:uid="{CA1D4487-36A8-42BE-AAE8-1C025B923059}" name="Networth (2)" dataDxfId="347">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346"/>
    <tableColumn id="105" xr3:uid="{628D592A-8396-4FB0-BFC1-BC7CA81586EE}" name="Raw (2)" dataDxfId="345">
      <calculatedColumnFormula>(TblMili[[#This Row],[Wizards]]+2*TblMili[[#This Row],[Archmages]])/TblConstr[[#This Row],[Land]]</calculatedColumnFormula>
    </tableColumn>
    <tableColumn id="106" xr3:uid="{016BFDB0-CD57-41C0-AF17-CB540C2E962C}" name="Modded (2)" dataDxfId="344">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343" dataDxfId="341" headerRowBorderDxfId="342" tableBorderDxfId="340">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339">
      <calculatedColumnFormula>TblRezone[[#This Row],[Hour]]</calculatedColumnFormula>
    </tableColumn>
    <tableColumn id="2" xr3:uid="{E160E2FF-C983-4A55-B03E-684BAA5D56D7}" name="Land" dataDxfId="338">
      <calculatedColumnFormula>TblConstr[[#This Row],[Land]]</calculatedColumnFormula>
    </tableColumn>
    <tableColumn id="3" xr3:uid="{CEA3931F-9B77-4317-A7C7-C5D0214A12BA}" name="Mana" dataDxfId="337">
      <calculatedColumnFormula>TblProd[[#This Row],[Mana]]</calculatedColumnFormula>
    </tableColumn>
    <tableColumn id="4" xr3:uid="{D383CA2D-65F3-4634-A1DD-E4ECA1CC96C8}" name="Wiz str" dataDxfId="336">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335">
      <calculatedColumnFormula>OFFSET(TblMagic[[#This Row],[Time]],-1,0)+1/24</calculatedColumnFormula>
    </tableColumn>
    <tableColumn id="6" xr3:uid="{6625E0CA-37E1-457D-817F-784FA6A7A47B}" name="Pop" dataDxfId="334">
      <calculatedColumnFormula>TblImps[[#This Row],[Population]]</calculatedColumnFormula>
    </tableColumn>
    <tableColumn id="7" xr3:uid="{74B4A440-273D-4100-B1BC-91171D1D20B6}" name="Gaia's Watch" dataDxfId="333"/>
    <tableColumn id="8" xr3:uid="{43E4A01F-74F7-4C30-9D8A-3079A04763B9}" name="Mining Strength" dataDxfId="332"/>
    <tableColumn id="9" xr3:uid="{1A92950C-8F89-409E-9002-FCC57F75ADE0}" name="Ares Call" dataDxfId="331"/>
    <tableColumn id="10" xr3:uid="{A04C0737-02D0-4DAA-B9D7-324E3D59498C}" name="Midas Touch" dataDxfId="330"/>
    <tableColumn id="11" xr3:uid="{028D46F5-0AAD-49F8-AC48-D5E2C41FD4C2}" name="Harmony" dataDxfId="329"/>
    <tableColumn id="12" xr3:uid="{42548E68-C2D5-44CD-99FA-6AD40E64E185}" name="Miner's Sight" dataDxfId="328"/>
    <tableColumn id="13" xr3:uid="{D64F8C18-3DBE-4D7A-8AA3-C35E04DD6CAC}" name="Mechanical Genius" dataDxfId="327"/>
    <tableColumn id="14" xr3:uid="{0165862E-59ED-45FB-BD5A-0C7DCAA39217}" name="Death and Decay" dataDxfId="326"/>
    <tableColumn id="15" xr3:uid="{762B30AD-670D-48C3-94F1-2BA1DC4089CC}" name="Killing Rage / Bloodrage / Crusade" dataDxfId="325"/>
    <tableColumn id="16" xr3:uid="{0162EA56-857C-4157-A7AB-4D90C9EA47F1}" name="Gaia's Blessing" dataDxfId="324"/>
    <tableColumn id="17" xr3:uid="{6D83302D-974B-4742-8BDA-D99BB673F6D7}" name="Howling" dataDxfId="323"/>
    <tableColumn id="18" xr3:uid="{081EE08A-AA95-4648-9376-F68D04887352}" name="Alchemist Frost" dataDxfId="322"/>
    <tableColumn id="19" xr3:uid="{3BCC0361-67FB-4576-8296-8E91F374A4A4}" name="Alchemists Flame" dataDxfId="321"/>
    <tableColumn id="20" xr3:uid="{CFB1AFFE-0570-4E81-B96B-5EE870CC5038}" name="Nightfall" dataDxfId="320"/>
    <tableColumn id="40" xr3:uid="{CD69E8F6-3FD6-49C0-9EB8-DB9FD0CAA6D9}" name="Favorable Terrain" dataDxfId="319"/>
    <tableColumn id="42" xr3:uid="{B3C18C59-4C81-4804-BB33-FB8D6CCF256E}" name="Infernal Command" dataDxfId="318"/>
    <tableColumn id="21" xr3:uid="{4F53D2F5-E2E8-4AEE-975D-5B925FA589B0}" name="Useless spell" dataDxfId="317"/>
    <tableColumn id="22" xr3:uid="{E7040239-1040-4E8C-8EEB-3D517AC825BD}" name="." dataDxfId="316"/>
    <tableColumn id="23" xr3:uid="{8F45EE21-92D1-4622-B103-16B477DF630B}" name="Mana cost" dataDxfId="315">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314">
      <calculatedColumnFormula>SUMIF(TblMagic[[#This Row],[Gaia''s Watch]:[Useless spell]],1)*0.05</calculatedColumnFormula>
    </tableColumn>
    <tableColumn id="25" xr3:uid="{2466DF86-89FE-4172-9850-F9FBAE56839D}" name=".." dataDxfId="313"/>
    <tableColumn id="26" xr3:uid="{F8559349-C288-4EC3-B38A-23771E549D1D}" name="Active Gaia's Watch" dataDxfId="312">
      <calculatedColumnFormula>IF(TblMagic[[#This Row],[Gaia''s Watch]],12,IF(OFFSET(TblMagic[[#This Row],[Active Gaia''s Watch]],-1,0)&gt;0,OFFSET(TblMagic[[#This Row],[Active Gaia''s Watch]],-1,0)-1,0))</calculatedColumnFormula>
    </tableColumn>
    <tableColumn id="27" xr3:uid="{00F45689-4686-422F-8E94-89C18992B261}" name="Active Mining Strength" dataDxfId="311">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310">
      <calculatedColumnFormula>IF(TblMagic[[#This Row],[Ares Call]],12,IF(OFFSET(TblMagic[[#This Row],[Active Ares Call]],-1,0)&gt;0,OFFSET(TblMagic[[#This Row],[Active Ares Call]],-1,0)-1,0))</calculatedColumnFormula>
    </tableColumn>
    <tableColumn id="29" xr3:uid="{BCC9ACB6-69AC-4DA1-B07D-F4802162CEF5}" name="Active Midas Touch" dataDxfId="309">
      <calculatedColumnFormula>IF(TblMagic[[#This Row],[Midas Touch]],12,IF(OFFSET(TblMagic[[#This Row],[Active Midas Touch]],-1,0)&gt;0,OFFSET(TblMagic[[#This Row],[Active Midas Touch]],-1,0)-1,0))</calculatedColumnFormula>
    </tableColumn>
    <tableColumn id="30" xr3:uid="{D13DA239-CC1B-41FD-A41B-68906B10F262}" name="Active Harmony" dataDxfId="308">
      <calculatedColumnFormula>IF(TblMagic[[#This Row],[Harmony]],12,IF(OFFSET(TblMagic[[#This Row],[Active Harmony]],-1,0)&gt;0,OFFSET(TblMagic[[#This Row],[Active Harmony]],-1,0)-1,0))</calculatedColumnFormula>
    </tableColumn>
    <tableColumn id="31" xr3:uid="{10D4FEA0-0AA8-4F31-8F5A-8576AE611BDA}" name="Active Miner's Sight" dataDxfId="307">
      <calculatedColumnFormula>IF(TblMagic[[#This Row],[Miner''s Sight]],12,IF(OFFSET(TblMagic[[#This Row],[Active Miner''s Sight]],-1,0)&gt;0,OFFSET(TblMagic[[#This Row],[Active Miner''s Sight]],-1,0)-1,0))</calculatedColumnFormula>
    </tableColumn>
    <tableColumn id="32" xr3:uid="{F3C242E1-6D76-4F30-9114-9CFB19B40B68}" name="Active Mechanical Genius" dataDxfId="306">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305">
      <calculatedColumnFormula>IF(TblMagic[[#This Row],[Death and Decay]],12,IF(OFFSET(TblMagic[[#This Row],[Active DnD]],-1,0)&gt;0,OFFSET(TblMagic[[#This Row],[Active DnD]],-1,0)-1,0))</calculatedColumnFormula>
    </tableColumn>
    <tableColumn id="34" xr3:uid="{3460E27B-FD4A-47FC-A87F-BAFED0FCC033}" name="Active Warsong / Killing Rage / Bloodrage" dataDxfId="304">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303">
      <calculatedColumnFormula>IF(TblMagic[[#This Row],[Gaia''s Blessing]],12,IF(OFFSET(TblMagic[[#This Row],[Active Gaia''s Blessing]],-1,0)&gt;0,OFFSET(TblMagic[[#This Row],[Active Gaia''s Blessing]],-1,0)-1,0))</calculatedColumnFormula>
    </tableColumn>
    <tableColumn id="36" xr3:uid="{DB2BE469-2BE3-4333-BFBC-C2857399E743}" name="Active Howling" dataDxfId="302">
      <calculatedColumnFormula>IF(TblMagic[[#This Row],[Howling]],12,IF(OFFSET(TblMagic[[#This Row],[Active Howling]],-1,0)&gt;0,OFFSET(TblMagic[[#This Row],[Active Howling]],-1,0)-1,0))</calculatedColumnFormula>
    </tableColumn>
    <tableColumn id="37" xr3:uid="{F5838FA3-8068-44AA-A6A2-758F46E5F78D}" name="Active Alch Frost" dataDxfId="301">
      <calculatedColumnFormula>IF(TblMagic[[#This Row],[Alchemist Frost]],12,IF(OFFSET(TblMagic[[#This Row],[Active Alch Frost]],-1,0)&gt;0,OFFSET(TblMagic[[#This Row],[Active Alch Frost]],-1,0)-1,0))</calculatedColumnFormula>
    </tableColumn>
    <tableColumn id="38" xr3:uid="{11215FCC-A994-4C4E-835C-F365C4B7BDF8}" name="Active Alchemists Flame" dataDxfId="300">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99">
      <calculatedColumnFormula>IF(TblMagic[[#This Row],[Nightfall]],12,IF(OFFSET(TblMagic[[#This Row],[Active Nightfall]],-1,0)&gt;0,OFFSET(TblMagic[[#This Row],[Active Nightfall]],-1,0)-1,0))</calculatedColumnFormula>
    </tableColumn>
    <tableColumn id="41" xr3:uid="{E8FFEB0A-82D1-4B3D-86CE-6103CDF8A0FD}" name="Active Favorable Terrain" dataDxfId="298">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97"/>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96" dataDxfId="295">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94">
      <calculatedColumnFormula>TblRezone[[#This Row],[Hour]]</calculatedColumnFormula>
    </tableColumn>
    <tableColumn id="3" xr3:uid="{DA4A1ACF-68D6-4564-BB1C-C3C3172606A1}" name="Land" dataDxfId="293">
      <calculatedColumnFormula>TblExplore[[#This Row],[Land-DB]]</calculatedColumnFormula>
    </tableColumn>
    <tableColumn id="4" xr3:uid="{05D0DCAF-595D-47DB-9D6C-DB4A543CF655}" name="Techpoints" dataDxfId="292">
      <calculatedColumnFormula>TblProd[[#This Row],[Techpoints]]</calculatedColumnFormula>
    </tableColumn>
    <tableColumn id="5" xr3:uid="{B8D24105-AE76-4A7C-9D26-589CB9891ED4}" name="Cost" dataDxfId="291">
      <calculatedColumnFormula>TblProd[[#This Row],[Required]]</calculatedColumnFormula>
    </tableColumn>
    <tableColumn id="93" xr3:uid="{2ABEB4AB-3FE9-4283-8DD1-DADEE729E1F4}" name="." dataDxfId="290"/>
    <tableColumn id="9" xr3:uid="{94ADF196-65A4-42D5-B9F1-902A2448736A}" name="Activate @ hour" dataDxfId="289"/>
    <tableColumn id="10" xr3:uid="{41EC03BC-D935-4DB1-9358-D7E68CB11DA3}" name="Number" dataDxfId="288"/>
    <tableColumn id="19" xr3:uid="{8781F361-D9CA-4DDC-83D1-8F9FCDC61FD4}" name="Tech name" dataDxfId="287"/>
    <tableColumn id="11" xr3:uid="{ED497BC4-A3FE-4968-980C-41E3E397E8F1}" name="Gains" dataDxfId="286"/>
    <tableColumn id="20" xr3:uid="{B66F94F3-B0AC-4CC0-9E7C-4CF7E4C92EEE}" name=".." dataDxfId="285"/>
    <tableColumn id="21" xr3:uid="{4775993E-7C72-4134-8A78-3FB7DCE45728}" name="…" dataDxfId="284">
      <calculatedColumnFormula>IF(TblTech[[#This Row],[Sum of tech]]&lt;&gt;OFFSET(TblTech[[#This Row],[Sum of tech]],-1,0),1,0)</calculatedColumnFormula>
    </tableColumn>
    <tableColumn id="22" xr3:uid="{DFF59F63-FD6B-45DE-9EEF-3899A7D747EF}" name="Sum of tech" dataDxfId="283">
      <calculatedColumnFormula>COUNTIF(TblTech[[#This Row],[1-1]:[11-1]],1)</calculatedColumnFormula>
    </tableColumn>
    <tableColumn id="23" xr3:uid="{26B2ED42-21EF-41D3-8431-65B8DCB84C2C}" name="1-1" dataDxfId="282">
      <calculatedColumnFormula array="1">IF(AND(M$2&lt;&gt;0,TblTech[[#This Row],[Hour]:[Hour]]&gt;=M$2),1,0)</calculatedColumnFormula>
    </tableColumn>
    <tableColumn id="24" xr3:uid="{50258140-FB02-4B3A-8985-9EF35792D437}" name="1-2" dataDxfId="281">
      <calculatedColumnFormula array="1">IF(AND(N$2&lt;&gt;0,TblTech[[#This Row],[Hour]:[Hour]]&gt;=N$2),1,0)</calculatedColumnFormula>
    </tableColumn>
    <tableColumn id="25" xr3:uid="{7124BFDC-5B72-4806-BD66-A9B40B96E890}" name="1-3" dataDxfId="280">
      <calculatedColumnFormula array="1">IF(AND(O$2&lt;&gt;0,TblTech[[#This Row],[Hour]:[Hour]]&gt;=O$2),1,0)</calculatedColumnFormula>
    </tableColumn>
    <tableColumn id="26" xr3:uid="{7F0A139B-B30E-4409-9274-8016025EA227}" name="1-4" dataDxfId="279">
      <calculatedColumnFormula array="1">IF(AND(P$2&lt;&gt;0,TblTech[[#This Row],[Hour]:[Hour]]&gt;=P$2),1,0)</calculatedColumnFormula>
    </tableColumn>
    <tableColumn id="27" xr3:uid="{29B9EAE2-227D-4807-9E41-445565CAAFF7}" name="1-5" dataDxfId="278">
      <calculatedColumnFormula array="1">IF(AND(Q$2&lt;&gt;0,TblTech[[#This Row],[Hour]:[Hour]]&gt;=Q$2),1,0)</calculatedColumnFormula>
    </tableColumn>
    <tableColumn id="28" xr3:uid="{43587F1E-C217-44F9-817A-0114F7F48D02}" name="1-6" dataDxfId="277">
      <calculatedColumnFormula array="1">IF(AND(R$2&lt;&gt;0,TblTech[[#This Row],[Hour]:[Hour]]&gt;=R$2),1,0)</calculatedColumnFormula>
    </tableColumn>
    <tableColumn id="29" xr3:uid="{0524F9E6-09EC-4986-B7A6-35B925952E60}" name="1-7" dataDxfId="276">
      <calculatedColumnFormula array="1">IF(AND(S$2&lt;&gt;0,TblTech[[#This Row],[Hour]:[Hour]]&gt;=S$2),1,0)</calculatedColumnFormula>
    </tableColumn>
    <tableColumn id="30" xr3:uid="{188B6808-99A1-4A91-A689-87097F62C1C1}" name="1-8" dataDxfId="275">
      <calculatedColumnFormula array="1">IF(AND(T$2&lt;&gt;0,TblTech[[#This Row],[Hour]:[Hour]]&gt;=T$2),1,0)</calculatedColumnFormula>
    </tableColumn>
    <tableColumn id="31" xr3:uid="{DC02C18F-47C9-4A23-8F34-9E02A677D29B}" name="1-9" dataDxfId="274">
      <calculatedColumnFormula array="1">IF(AND(U$2&lt;&gt;0,TblTech[[#This Row],[Hour]:[Hour]]&gt;=U$2),1,0)</calculatedColumnFormula>
    </tableColumn>
    <tableColumn id="32" xr3:uid="{21B6A564-7028-4932-914B-F32A59CAEC67}" name="1-10" dataDxfId="273">
      <calculatedColumnFormula array="1">IF(AND(V$2&lt;&gt;0,TblTech[[#This Row],[Hour]:[Hour]]&gt;=V$2),1,0)</calculatedColumnFormula>
    </tableColumn>
    <tableColumn id="33" xr3:uid="{BE08B152-511E-4680-AD58-AFCC2777EE65}" name="1-11" dataDxfId="272">
      <calculatedColumnFormula array="1">IF(AND(W$2&lt;&gt;0,TblTech[[#This Row],[Hour]:[Hour]]&gt;=W$2),1,0)</calculatedColumnFormula>
    </tableColumn>
    <tableColumn id="34" xr3:uid="{F0B67B28-DF8B-4FF4-BE8F-BD953642450D}" name="2-1" dataDxfId="271">
      <calculatedColumnFormula array="1">IF(AND(X$2&lt;&gt;0,TblTech[[#This Row],[Hour]:[Hour]]&gt;=X$2),1,0)</calculatedColumnFormula>
    </tableColumn>
    <tableColumn id="35" xr3:uid="{E1C38FB5-1814-43BE-8628-9E331159B491}" name="2-2" dataDxfId="270">
      <calculatedColumnFormula array="1">IF(AND(Y$2&lt;&gt;0,TblTech[[#This Row],[Hour]:[Hour]]&gt;=Y$2),1,0)</calculatedColumnFormula>
    </tableColumn>
    <tableColumn id="36" xr3:uid="{8EEFA1A3-F668-44A9-99D5-F625CDEC0846}" name="2-3" dataDxfId="269">
      <calculatedColumnFormula array="1">IF(AND(Z$2&lt;&gt;0,TblTech[[#This Row],[Hour]:[Hour]]&gt;=Z$2),1,0)</calculatedColumnFormula>
    </tableColumn>
    <tableColumn id="37" xr3:uid="{8B9C353C-5141-4E70-88A8-3C0ADC0F65A2}" name="2-4" dataDxfId="268">
      <calculatedColumnFormula array="1">IF(AND(AA$2&lt;&gt;0,TblTech[[#This Row],[Hour]:[Hour]]&gt;=AA$2),1,0)</calculatedColumnFormula>
    </tableColumn>
    <tableColumn id="38" xr3:uid="{4F9949FA-D32C-43B0-A632-BDA246027740}" name="2-5" dataDxfId="267">
      <calculatedColumnFormula array="1">IF(AND(AB$2&lt;&gt;0,TblTech[[#This Row],[Hour]:[Hour]]&gt;=AB$2),1,0)</calculatedColumnFormula>
    </tableColumn>
    <tableColumn id="39" xr3:uid="{E35ABE45-7462-4288-879B-43C24510B588}" name="2-6" dataDxfId="266">
      <calculatedColumnFormula array="1">IF(AND(AC$2&lt;&gt;0,TblTech[[#This Row],[Hour]:[Hour]]&gt;=AC$2),1,0)</calculatedColumnFormula>
    </tableColumn>
    <tableColumn id="40" xr3:uid="{B02ACA29-3024-4B8E-B2F0-E65F48E762BF}" name="2-7" dataDxfId="265">
      <calculatedColumnFormula array="1">IF(AND(AD$2&lt;&gt;0,TblTech[[#This Row],[Hour]:[Hour]]&gt;=AD$2),1,0)</calculatedColumnFormula>
    </tableColumn>
    <tableColumn id="41" xr3:uid="{34022863-F0D7-473E-B433-052438597C70}" name="2-8" dataDxfId="264">
      <calculatedColumnFormula array="1">IF(AND(AE$2&lt;&gt;0,TblTech[[#This Row],[Hour]:[Hour]]&gt;=AE$2),1,0)</calculatedColumnFormula>
    </tableColumn>
    <tableColumn id="42" xr3:uid="{4264B147-345F-4187-898B-976D4720C3B2}" name="2-9" dataDxfId="263">
      <calculatedColumnFormula array="1">IF(AND(AF$2&lt;&gt;0,TblTech[[#This Row],[Hour]:[Hour]]&gt;=AF$2),1,0)</calculatedColumnFormula>
    </tableColumn>
    <tableColumn id="43" xr3:uid="{040A812F-9A82-4FA5-96D4-BB0CE9B1567D}" name="2-10" dataDxfId="262">
      <calculatedColumnFormula array="1">IF(AND(AG$2&lt;&gt;0,TblTech[[#This Row],[Hour]:[Hour]]&gt;=AG$2),1,0)</calculatedColumnFormula>
    </tableColumn>
    <tableColumn id="44" xr3:uid="{65E9F477-8A73-4C7D-9453-E8F8A13C4220}" name="3-1" dataDxfId="261">
      <calculatedColumnFormula array="1">IF(AND(AH$2&lt;&gt;0,TblTech[[#This Row],[Hour]:[Hour]]&gt;=AH$2),1,0)</calculatedColumnFormula>
    </tableColumn>
    <tableColumn id="45" xr3:uid="{86A8FA88-B983-4431-9D5A-9A068F2DE89C}" name="3-2" dataDxfId="260">
      <calculatedColumnFormula array="1">IF(AND(AI$2&lt;&gt;0,TblTech[[#This Row],[Hour]:[Hour]]&gt;=AI$2),1,0)</calculatedColumnFormula>
    </tableColumn>
    <tableColumn id="46" xr3:uid="{B4D6E3D7-41BB-4A05-98AF-36C706567C66}" name="3-3" dataDxfId="259">
      <calculatedColumnFormula array="1">IF(AND(AJ$2&lt;&gt;0,TblTech[[#This Row],[Hour]:[Hour]]&gt;=AJ$2),1,0)</calculatedColumnFormula>
    </tableColumn>
    <tableColumn id="47" xr3:uid="{A65655BF-F389-46E7-B712-282C9B16E721}" name="3-4" dataDxfId="258">
      <calculatedColumnFormula array="1">IF(AND(AK$2&lt;&gt;0,TblTech[[#This Row],[Hour]:[Hour]]&gt;=AK$2),1,0)</calculatedColumnFormula>
    </tableColumn>
    <tableColumn id="48" xr3:uid="{6AC53AFF-C5BC-4C6E-A226-AD750DEF26F0}" name="3-5" dataDxfId="257">
      <calculatedColumnFormula array="1">IF(AND(AL$2&lt;&gt;0,TblTech[[#This Row],[Hour]:[Hour]]&gt;=AL$2),1,0)</calculatedColumnFormula>
    </tableColumn>
    <tableColumn id="49" xr3:uid="{517C8F30-6F70-4A9F-930D-87F70A281D06}" name="3-6" dataDxfId="256">
      <calculatedColumnFormula array="1">IF(AND(AM$2&lt;&gt;0,TblTech[[#This Row],[Hour]:[Hour]]&gt;=AM$2),1,0)</calculatedColumnFormula>
    </tableColumn>
    <tableColumn id="50" xr3:uid="{3B9D0CD9-1DC1-4BF8-84D6-0C15DCE53BA3}" name="3-7" dataDxfId="255">
      <calculatedColumnFormula array="1">IF(AND(AN$2&lt;&gt;0,TblTech[[#This Row],[Hour]:[Hour]]&gt;=AN$2),1,0)</calculatedColumnFormula>
    </tableColumn>
    <tableColumn id="51" xr3:uid="{BF773A1C-6C94-4253-89D5-6B882BDABD54}" name="3-8" dataDxfId="254">
      <calculatedColumnFormula array="1">IF(AND(AO$2&lt;&gt;0,TblTech[[#This Row],[Hour]:[Hour]]&gt;=AO$2),1,0)</calculatedColumnFormula>
    </tableColumn>
    <tableColumn id="52" xr3:uid="{D719799C-D81A-4575-B1F1-9835FB72D924}" name="3-9" dataDxfId="253">
      <calculatedColumnFormula array="1">IF(AND(AP$2&lt;&gt;0,TblTech[[#This Row],[Hour]:[Hour]]&gt;=AP$2),1,0)</calculatedColumnFormula>
    </tableColumn>
    <tableColumn id="53" xr3:uid="{81CD67AD-C2F6-496B-991C-75EACF4860E0}" name="4-1" dataDxfId="252">
      <calculatedColumnFormula array="1">IF(AND(AQ$2&lt;&gt;0,TblTech[[#This Row],[Hour]:[Hour]]&gt;=AQ$2),1,0)</calculatedColumnFormula>
    </tableColumn>
    <tableColumn id="54" xr3:uid="{3255B3D4-FF8E-4B91-8A83-C128D00B29D0}" name="4-2" dataDxfId="251">
      <calculatedColumnFormula array="1">IF(AND(AR$2&lt;&gt;0,TblTech[[#This Row],[Hour]:[Hour]]&gt;=AR$2),1,0)</calculatedColumnFormula>
    </tableColumn>
    <tableColumn id="55" xr3:uid="{E9B22F56-FCCE-4890-8FF4-FF6D8C0863D0}" name="4-3" dataDxfId="250">
      <calculatedColumnFormula array="1">IF(AND(AS$2&lt;&gt;0,TblTech[[#This Row],[Hour]:[Hour]]&gt;=AS$2),1,0)</calculatedColumnFormula>
    </tableColumn>
    <tableColumn id="56" xr3:uid="{1C0A6BE0-6DBC-40E6-B512-F921E4637B0B}" name="4-4" dataDxfId="249">
      <calculatedColumnFormula array="1">IF(AND(AT$2&lt;&gt;0,TblTech[[#This Row],[Hour]:[Hour]]&gt;=AT$2),1,0)</calculatedColumnFormula>
    </tableColumn>
    <tableColumn id="57" xr3:uid="{5DAC0420-BB86-481B-957A-78DB826A7E20}" name="4-5" dataDxfId="248">
      <calculatedColumnFormula array="1">IF(AND(AU$2&lt;&gt;0,TblTech[[#This Row],[Hour]:[Hour]]&gt;=AU$2),1,0)</calculatedColumnFormula>
    </tableColumn>
    <tableColumn id="58" xr3:uid="{2442830B-618D-4A03-A6E6-23EC65BAB59B}" name="4-6" dataDxfId="247">
      <calculatedColumnFormula array="1">IF(AND(AV$2&lt;&gt;0,TblTech[[#This Row],[Hour]:[Hour]]&gt;=AV$2),1,0)</calculatedColumnFormula>
    </tableColumn>
    <tableColumn id="59" xr3:uid="{8AB48F18-B215-484F-9058-BE5431D00ED5}" name="4-7" dataDxfId="246">
      <calculatedColumnFormula array="1">IF(AND(AW$2&lt;&gt;0,TblTech[[#This Row],[Hour]:[Hour]]&gt;=AW$2),1,0)</calculatedColumnFormula>
    </tableColumn>
    <tableColumn id="60" xr3:uid="{3B7FB99A-0607-4DBC-A93C-47B6B21464A5}" name="4-8" dataDxfId="245">
      <calculatedColumnFormula array="1">IF(AND(AX$2&lt;&gt;0,TblTech[[#This Row],[Hour]:[Hour]]&gt;=AX$2),1,0)</calculatedColumnFormula>
    </tableColumn>
    <tableColumn id="61" xr3:uid="{CFAAB1A4-4760-4FF3-BF0E-D276BAEF346A}" name="5-1" dataDxfId="244">
      <calculatedColumnFormula array="1">IF(AND(AY$2&lt;&gt;0,TblTech[[#This Row],[Hour]:[Hour]]&gt;=AY$2),1,0)</calculatedColumnFormula>
    </tableColumn>
    <tableColumn id="62" xr3:uid="{E5F62076-AF81-4EE1-A6D2-C4FBF4181C93}" name="5-2" dataDxfId="243">
      <calculatedColumnFormula array="1">IF(AND(AZ$2&lt;&gt;0,TblTech[[#This Row],[Hour]:[Hour]]&gt;=AZ$2),1,0)</calculatedColumnFormula>
    </tableColumn>
    <tableColumn id="63" xr3:uid="{EE3346E8-7A22-4F0A-94B7-B36570A0B72E}" name="5-3" dataDxfId="242">
      <calculatedColumnFormula array="1">IF(AND(BA$2&lt;&gt;0,TblTech[[#This Row],[Hour]:[Hour]]&gt;=BA$2),1,0)</calculatedColumnFormula>
    </tableColumn>
    <tableColumn id="64" xr3:uid="{19F3E157-570E-4E1E-BCC2-3EF92D7B8A8B}" name="5-4" dataDxfId="241">
      <calculatedColumnFormula array="1">IF(AND(BB$2&lt;&gt;0,TblTech[[#This Row],[Hour]:[Hour]]&gt;=BB$2),1,0)</calculatedColumnFormula>
    </tableColumn>
    <tableColumn id="65" xr3:uid="{A59D5D3A-678C-49C4-A3B5-D86FF0C14500}" name="5-5" dataDxfId="240">
      <calculatedColumnFormula array="1">IF(AND(BC$2&lt;&gt;0,TblTech[[#This Row],[Hour]:[Hour]]&gt;=BC$2),1,0)</calculatedColumnFormula>
    </tableColumn>
    <tableColumn id="66" xr3:uid="{3EBEC9F5-18F1-461D-AF3F-E66DA870B9ED}" name="5-6" dataDxfId="239">
      <calculatedColumnFormula array="1">IF(AND(BD$2&lt;&gt;0,TblTech[[#This Row],[Hour]:[Hour]]&gt;=BD$2),1,0)</calculatedColumnFormula>
    </tableColumn>
    <tableColumn id="67" xr3:uid="{20985549-198B-4F2A-AF78-070BD8A22298}" name="5-7" dataDxfId="238">
      <calculatedColumnFormula array="1">IF(AND(BE$2&lt;&gt;0,TblTech[[#This Row],[Hour]:[Hour]]&gt;=BE$2),1,0)</calculatedColumnFormula>
    </tableColumn>
    <tableColumn id="68" xr3:uid="{F4DDB15D-3A5D-449E-8491-EA836A4AB090}" name="6-1" dataDxfId="237">
      <calculatedColumnFormula array="1">IF(AND(BF$2&lt;&gt;0,TblTech[[#This Row],[Hour]:[Hour]]&gt;=BF$2),1,0)</calculatedColumnFormula>
    </tableColumn>
    <tableColumn id="69" xr3:uid="{CC7E2300-DCD5-46C6-AD93-8F283F035DAF}" name="6-2" dataDxfId="236">
      <calculatedColumnFormula array="1">IF(AND(BG$2&lt;&gt;0,TblTech[[#This Row],[Hour]:[Hour]]&gt;=BG$2),1,0)</calculatedColumnFormula>
    </tableColumn>
    <tableColumn id="70" xr3:uid="{0DC5B532-84DD-40E3-9A96-3B7ED120C52C}" name="6-3" dataDxfId="235">
      <calculatedColumnFormula array="1">IF(AND(BH$2&lt;&gt;0,TblTech[[#This Row],[Hour]:[Hour]]&gt;=BH$2),1,0)</calculatedColumnFormula>
    </tableColumn>
    <tableColumn id="71" xr3:uid="{DBF8F56A-2B38-47BE-86BB-D34F12B071FA}" name="6-4" dataDxfId="234">
      <calculatedColumnFormula array="1">IF(AND(BI$2&lt;&gt;0,TblTech[[#This Row],[Hour]:[Hour]]&gt;=BI$2),1,0)</calculatedColumnFormula>
    </tableColumn>
    <tableColumn id="72" xr3:uid="{8A63D20A-B735-48C5-9D04-93C0E6922380}" name="6-5" dataDxfId="233">
      <calculatedColumnFormula array="1">IF(AND(BJ$2&lt;&gt;0,TblTech[[#This Row],[Hour]:[Hour]]&gt;=BJ$2),1,0)</calculatedColumnFormula>
    </tableColumn>
    <tableColumn id="73" xr3:uid="{40ABCA6E-09C4-437C-8184-D2AA8A46BADC}" name="6-6" dataDxfId="232">
      <calculatedColumnFormula array="1">IF(AND(BK$2&lt;&gt;0,TblTech[[#This Row],[Hour]:[Hour]]&gt;=BK$2),1,0)</calculatedColumnFormula>
    </tableColumn>
    <tableColumn id="74" xr3:uid="{304D27FC-5054-456F-9FA0-3E170324E735}" name="7-1" dataDxfId="231">
      <calculatedColumnFormula array="1">IF(AND(BL$2&lt;&gt;0,TblTech[[#This Row],[Hour]:[Hour]]&gt;=BL$2),1,0)</calculatedColumnFormula>
    </tableColumn>
    <tableColumn id="75" xr3:uid="{F53A9B26-BE5F-4442-9E77-570EB38C7B2D}" name="7-2" dataDxfId="230">
      <calculatedColumnFormula array="1">IF(AND(BM$2&lt;&gt;0,TblTech[[#This Row],[Hour]:[Hour]]&gt;=BM$2),1,0)</calculatedColumnFormula>
    </tableColumn>
    <tableColumn id="76" xr3:uid="{5A1C0BCB-6C77-48A3-8B36-DA0838BEFD4F}" name="7-3" dataDxfId="229">
      <calculatedColumnFormula array="1">IF(AND(BN$2&lt;&gt;0,TblTech[[#This Row],[Hour]:[Hour]]&gt;=BN$2),1,0)</calculatedColumnFormula>
    </tableColumn>
    <tableColumn id="77" xr3:uid="{96D50B4B-A1C4-4AE1-87EE-409B3128CB4D}" name="7-4" dataDxfId="228">
      <calculatedColumnFormula array="1">IF(AND(BO$2&lt;&gt;0,TblTech[[#This Row],[Hour]:[Hour]]&gt;=BO$2),1,0)</calculatedColumnFormula>
    </tableColumn>
    <tableColumn id="78" xr3:uid="{64A36F5D-65DB-44C8-84EC-A1A1FFF2B3AB}" name="7-5" dataDxfId="227">
      <calculatedColumnFormula array="1">IF(AND(BP$2&lt;&gt;0,TblTech[[#This Row],[Hour]:[Hour]]&gt;=BP$2),1,0)</calculatedColumnFormula>
    </tableColumn>
    <tableColumn id="79" xr3:uid="{73D8C7B5-D3FC-4DB3-BB3C-6A056F59A2A0}" name="8-1" dataDxfId="226">
      <calculatedColumnFormula array="1">IF(AND(BQ$2&lt;&gt;0,TblTech[[#This Row],[Hour]:[Hour]]&gt;=BQ$2),1,0)</calculatedColumnFormula>
    </tableColumn>
    <tableColumn id="80" xr3:uid="{8C8F01C9-13ED-4ABA-B4ED-5D892B20A077}" name="8-2" dataDxfId="225">
      <calculatedColumnFormula array="1">IF(AND(BR$2&lt;&gt;0,TblTech[[#This Row],[Hour]:[Hour]]&gt;=BR$2),1,0)</calculatedColumnFormula>
    </tableColumn>
    <tableColumn id="81" xr3:uid="{954DF58F-2216-42C3-A4F3-4A1B568C8A7F}" name="8-3" dataDxfId="224">
      <calculatedColumnFormula array="1">IF(AND(BS$2&lt;&gt;0,TblTech[[#This Row],[Hour]:[Hour]]&gt;=BS$2),1,0)</calculatedColumnFormula>
    </tableColumn>
    <tableColumn id="82" xr3:uid="{941FAEC7-7D7C-4C75-9F8E-BB3469E2F29F}" name="8-4" dataDxfId="223">
      <calculatedColumnFormula array="1">IF(AND(BT$2&lt;&gt;0,TblTech[[#This Row],[Hour]:[Hour]]&gt;=BT$2),1,0)</calculatedColumnFormula>
    </tableColumn>
    <tableColumn id="83" xr3:uid="{27C9395E-8B81-4CBA-8523-A330679CAE04}" name="9-1" dataDxfId="222">
      <calculatedColumnFormula array="1">IF(AND(BU$2&lt;&gt;0,TblTech[[#This Row],[Hour]:[Hour]]&gt;=BU$2),1,0)</calculatedColumnFormula>
    </tableColumn>
    <tableColumn id="84" xr3:uid="{90667EBE-7747-4976-9947-BD9386AEC90C}" name="9-2" dataDxfId="221">
      <calculatedColumnFormula array="1">IF(AND(BV$2&lt;&gt;0,TblTech[[#This Row],[Hour]:[Hour]]&gt;=BV$2),1,0)</calculatedColumnFormula>
    </tableColumn>
    <tableColumn id="85" xr3:uid="{8AA93356-F62A-4D0B-B2F8-5CADB2567ECF}" name="9-3" dataDxfId="220">
      <calculatedColumnFormula array="1">IF(AND(BW$2&lt;&gt;0,TblTech[[#This Row],[Hour]:[Hour]]&gt;=BW$2),1,0)</calculatedColumnFormula>
    </tableColumn>
    <tableColumn id="86" xr3:uid="{C66AB8D9-7BBC-415A-8732-B5DF0FF2495D}" name="10-1" dataDxfId="219">
      <calculatedColumnFormula array="1">IF(AND(BX$2&lt;&gt;0,TblTech[[#This Row],[Hour]:[Hour]]&gt;=BX$2),1,0)</calculatedColumnFormula>
    </tableColumn>
    <tableColumn id="87" xr3:uid="{13FA2B9A-3F31-4A51-9E2B-753CC6C8AA88}" name="10-2" dataDxfId="218">
      <calculatedColumnFormula array="1">IF(AND(BY$2&lt;&gt;0,TblTech[[#This Row],[Hour]:[Hour]]&gt;=BY$2),1,0)</calculatedColumnFormula>
    </tableColumn>
    <tableColumn id="88" xr3:uid="{D4F65702-E3D7-4783-B103-20F8DD7E4532}" name="11-1" dataDxfId="217">
      <calculatedColumnFormula array="1">IF(AND(BZ$2&lt;&gt;0,TblTech[[#This Row],[Hour]:[Hour]]&gt;=BZ$2),1,0)</calculatedColumnFormula>
    </tableColumn>
    <tableColumn id="89" xr3:uid="{0428044E-0525-4B76-80C9-2D449BDFDA1D}" name="Tech" dataDxfId="216">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CA136" totalsRowShown="0" headerRowDxfId="215" dataDxfId="213" headerRowBorderDxfId="214" tableBorderDxfId="212">
  <autoFilter ref="A3:CA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xr3:uid="{8B853867-4FF4-4598-9642-7AE686A60E0E}" name="Land" dataDxfId="211">
      <calculatedColumnFormula>TblConstr[[#This Row],[Land]]</calculatedColumnFormula>
    </tableColumn>
    <tableColumn id="2" xr3:uid="{AF6EC8F3-9D95-46FD-B967-FAAF3638AE73}" name="." dataDxfId="210"/>
    <tableColumn id="3" xr3:uid="{FF282ACC-05AC-4142-89E7-09EE52E6FD72}" name="Platinum" dataDxfId="209">
      <calculatedColumnFormula>TblProd[[#This Row],[Platinum]]</calculatedColumnFormula>
    </tableColumn>
    <tableColumn id="4" xr3:uid="{F2178B14-2531-41FE-8DC7-F919571A183A}" name="Lumber" dataDxfId="208">
      <calculatedColumnFormula>TblProd[[#This Row],[Lumber]]</calculatedColumnFormula>
    </tableColumn>
    <tableColumn id="5" xr3:uid="{E437C993-EDEE-4BB3-942B-73180B524B81}" name="Ore" dataDxfId="207">
      <calculatedColumnFormula>TblProd[[#This Row],[Ore]]</calculatedColumnFormula>
    </tableColumn>
    <tableColumn id="6" xr3:uid="{C515063B-AE7C-4BAF-93AB-7443CE68AC54}" name="Gems" dataDxfId="206">
      <calculatedColumnFormula>TblProd[[#This Row],[Gems]]</calculatedColumnFormula>
    </tableColumn>
    <tableColumn id="7" xr3:uid="{935F3905-1AC4-42EE-8A78-476F2F815DFD}" name=".." dataDxfId="205"/>
    <tableColumn id="8" xr3:uid="{A8E01FC0-2F13-4C73-B50D-1FA1083B0FFA}" name="Drafees" dataDxfId="204">
      <calculatedColumnFormula>TblMili[[#This Row],[Draftees]]</calculatedColumnFormula>
    </tableColumn>
    <tableColumn id="9" xr3:uid="{FF70B178-883B-4FA3-B446-2BB364451655}" name="Employed" dataDxfId="203" dataCellStyle="Percent">
      <calculatedColumnFormula>TblPop[[#This Row],[Employment]]</calculatedColumnFormula>
    </tableColumn>
    <tableColumn id="10" xr3:uid="{8AB351E3-8FED-4F8D-951B-AA2D279B0091}" name="Population" dataDxfId="202" dataCellStyle="Percent">
      <calculatedColumnFormula>TblPop[[#This Row],[Total]]/TblPop[[#This Row],[Net max]]</calculatedColumnFormula>
    </tableColumn>
    <tableColumn id="11" xr3:uid="{3D13675F-4203-4882-AC02-B7629E90679D}" name="Hour" dataDxfId="201" dataCellStyle="Percent">
      <calculatedColumnFormula>TblRezone[[#This Row],[Hour]]</calculatedColumnFormula>
    </tableColumn>
    <tableColumn id="12" xr3:uid="{50E3FF0B-DB5B-4715-971A-2D8F804DD3F4}" name="Time" dataDxfId="200" dataCellStyle="Percent">
      <calculatedColumnFormula>TblImps[[#This Row],[Real time]]</calculatedColumnFormula>
    </tableColumn>
    <tableColumn id="13" xr3:uid="{33373A28-E349-4A6C-946C-A172D9829897}" name="Login" dataDxfId="199">
      <calculatedColumnFormula>IF(ISERROR(TblImps[[#This Row],[algorithm]]),0,TblImps[[#This Row],[algorithm]]*1)</calculatedColumnFormula>
    </tableColumn>
    <tableColumn id="14" xr3:uid="{820813AE-0D29-4E3D-B99A-7C5B810B4DA6}" name="Land (3)" dataDxfId="198">
      <calculatedColumnFormula>TblImps[[#This Row],[Land]]</calculatedColumnFormula>
    </tableColumn>
    <tableColumn id="15" xr3:uid="{D8234223-045A-48CE-8E60-8B1B718D1273}" name="Resource" dataDxfId="197"/>
    <tableColumn id="16" xr3:uid="{9AB57DEC-DF25-44AD-97D1-1EF820C63FF2}" name="Amount" dataDxfId="196"/>
    <tableColumn id="17" xr3:uid="{1ECA1762-52EB-4370-862C-42E5B7F71087}" name="Part" dataDxfId="195"/>
    <tableColumn id="18" xr3:uid="{45AD7F60-4F2F-47B2-8046-04C9C5A445EE}" name="Resource 2" dataDxfId="194"/>
    <tableColumn id="19" xr3:uid="{1D8720C7-5940-4FF1-AF3B-FB70E475E9BA}" name="Amount 2" dataDxfId="193"/>
    <tableColumn id="20" xr3:uid="{1AF884E5-0A32-404F-8142-8BDFCA31C5EF}" name="Part 2" dataDxfId="192"/>
    <tableColumn id="21" xr3:uid="{FFCC36EF-B2F1-46BE-827C-260D53435D8F}" name="Resource 3" dataDxfId="191"/>
    <tableColumn id="22" xr3:uid="{AAD98AF1-A248-4594-A8A2-ADB665DABE8F}" name="Amount 3" dataDxfId="190"/>
    <tableColumn id="23" xr3:uid="{5BDF5795-C792-45A5-AC6D-35BE17C06BBC}" name="Part 3" dataDxfId="189"/>
    <tableColumn id="24" xr3:uid="{AB1402EA-4B4E-4F7F-B76D-14CCFC4BF881}" name="…" dataDxfId="188"/>
    <tableColumn id="25" xr3:uid="{C82B3C56-E90F-4536-A41D-465C61544B49}" name="Science" dataDxfId="187">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86">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185">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184">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183">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182">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181"/>
    <tableColumn id="32" xr3:uid="{C7C4061A-6DA9-4687-A437-B442C90A5089}" name="Σ Science" dataDxfId="180">
      <calculatedColumnFormula>(1+Overview!$I$29)*SUM(TblImps[[#This Row],[P2]:[G2]])+OFFSET(TblImps[[#This Row],[Σ Science]],-1,0)</calculatedColumnFormula>
    </tableColumn>
    <tableColumn id="33" xr3:uid="{87424BBC-4CC9-4173-85AC-5C6A6ECFFB84}" name="Σ Keep" dataDxfId="179">
      <calculatedColumnFormula>(1+Overview!$I$29)*SUM(TblImps[[#This Row],[P3]:[G3]])+OFFSET(TblImps[[#This Row],[Σ Keep]],-1,0)</calculatedColumnFormula>
    </tableColumn>
    <tableColumn id="34" xr3:uid="{3DB81FE6-4CBC-4F36-973D-C8F8D1BD09A1}" name="Σ Spires" dataDxfId="178">
      <calculatedColumnFormula>(1+Overview!$I$29 + tech_7_1*TblTech[[#This Row],[7-1]])*SUM(TblImps[[#This Row],[P4]:[G4]])+OFFSET(TblImps[[#This Row],[Σ Spires]],-1,0)</calculatedColumnFormula>
    </tableColumn>
    <tableColumn id="35" xr3:uid="{485A62F9-7EE3-40A9-BDA7-9F3E4E3EC0E1}" name="Σ Forges" dataDxfId="177">
      <calculatedColumnFormula>(1+Overview!$I$29)*SUM(TblImps[[#This Row],[P5]:[G5]])+OFFSET(TblImps[[#This Row],[Σ Forges]],-1,0)</calculatedColumnFormula>
    </tableColumn>
    <tableColumn id="36" xr3:uid="{CEDFD8F7-5AA6-4236-AE0F-14B6F23AE524}" name="Σ Walls" dataDxfId="176">
      <calculatedColumnFormula>(1+Overview!$I$29)*SUM(TblImps[[#This Row],[P6]:[G6]])+OFFSET(TblImps[[#This Row],[Σ Walls]],-1,0)</calculatedColumnFormula>
    </tableColumn>
    <tableColumn id="37" xr3:uid="{1C140D1F-1021-4314-82BD-7176A05B078C}" name="Σ Harbor" dataDxfId="175">
      <calculatedColumnFormula>(1+Overview!$I$29 + tech_7_1*TblTech[[#This Row],[7-1]])*SUM(TblImps[[#This Row],[P7]:[G7]])+OFFSET(TblImps[[#This Row],[Σ Harbor]],-1,0)</calculatedColumnFormula>
    </tableColumn>
    <tableColumn id="38" xr3:uid="{808772B5-D74B-4C2E-9369-56BA268972E4}" name="….." dataDxfId="174"/>
    <tableColumn id="39" xr3:uid="{A732ACBF-AEA8-4BC8-8A5C-C0F5525B84B4}" name="P1" dataDxfId="173">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172">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171">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170">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169"/>
    <tableColumn id="44" xr3:uid="{B4E4C91D-5302-4D99-9223-7DC08C0F56E2}" name="P2" dataDxfId="168">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167">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166">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165">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164"/>
    <tableColumn id="49" xr3:uid="{2713D17E-C072-4464-ACFB-1E3B4E4768C8}" name="P3" dataDxfId="163">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162">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161">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160">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159"/>
    <tableColumn id="54" xr3:uid="{60744F8B-EA90-4F3F-908D-1DBF81E4FBBC}" name="P4" dataDxfId="158">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157">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156">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155">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154"/>
    <tableColumn id="59" xr3:uid="{7CAD4FEB-38C3-4ECC-9BB4-566F90D38057}" name="P5" dataDxfId="153">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152">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151">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150">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79" xr3:uid="{7AC2B48C-6676-42B5-AC1B-CF8C1F18718C}" name="FW5" dataDxfId="0">
      <calculatedColumnFormula>IF(OFFSET(TblMagic[[#This Row],[Active Alchemists Flame]],-1,0)&gt;0,TblConstr[[#This Row],[Tot Alc]]*alchemist_flame_invest,0)</calculatedColumnFormula>
    </tableColumn>
    <tableColumn id="63" xr3:uid="{22605E6F-6335-44A7-8340-9D5A857286D7}" name="…......." dataDxfId="149"/>
    <tableColumn id="64" xr3:uid="{74BD3EE9-84CB-4606-9851-F46947A6E124}" name="P6" dataDxfId="148">
      <calculatedColumnFormula>IF(TblImps[[#This Row],[Resource]]=BM$2,IF(TblImps[[#This Row],[Part]]=$AC$2,TblImps[[#This Row],[Amount]]*plat_invest)) + IF(TblImps[[#This Row],[Resource 2]]=BM$2,IF(TblImps[[#This Row],[Part 2]]=$AC$2,TblImps[[#This Row],[Amount 2]]*plat_invest)) + IF(TblImps[[#This Row],[Resource 3]]=BM$2,IF(TblImps[[#This Row],[Part 3]]=$AC$2,TblImps[[#This Row],[Amount 3]]*plat_invest))</calculatedColumnFormula>
    </tableColumn>
    <tableColumn id="65" xr3:uid="{F266A8BA-8CC3-4601-95F2-5F977F23CC3C}" name="L6" dataDxfId="147">
      <calculatedColumnFormula>IF(TblImps[[#This Row],[Resource]]=BN$2,IF(TblImps[[#This Row],[Part]]=$AC$2,TblImps[[#This Row],[Amount]]*lumber_invest)) + IF(TblImps[[#This Row],[Resource 2]]=BN$2,IF(TblImps[[#This Row],[Part 2]]=$AC$2,TblImps[[#This Row],[Amount 2]]*lumber_invest)) + IF(TblImps[[#This Row],[Resource 3]]=BN$2,IF(TblImps[[#This Row],[Part 3]]=$AC$2,TblImps[[#This Row],[Amount 3]]*lumber_invest))</calculatedColumnFormula>
    </tableColumn>
    <tableColumn id="66" xr3:uid="{73623468-7991-4CDF-BBF6-67A0C3387D2F}" name="O6" dataDxfId="146">
      <calculatedColumnFormula>IF(TblImps[[#This Row],[Resource]]=BO$2,IF(TblImps[[#This Row],[Part]]=$AC$2,TblImps[[#This Row],[Amount]]*ore_invest)) + IF(TblImps[[#This Row],[Resource 2]]=BO$2,IF(TblImps[[#This Row],[Part 2]]=$AC$2,TblImps[[#This Row],[Amount 2]]*ore_invest)) + IF(TblImps[[#This Row],[Resource 3]]=BO$2,IF(TblImps[[#This Row],[Part 3]]=$AC$2,TblImps[[#This Row],[Amount 3]]*ore_invest))</calculatedColumnFormula>
    </tableColumn>
    <tableColumn id="67" xr3:uid="{82BAE55C-FE60-4E58-BBAD-C4C76AA392E3}" name="G6" dataDxfId="145">
      <calculatedColumnFormula>IF(TblImps[[#This Row],[Resource]]=BP$2,IF(TblImps[[#This Row],[Part]]=$AC$2,TblImps[[#This Row],[Amount]]*gem_invest)) + IF(TblImps[[#This Row],[Resource 2]]=BP$2,IF(TblImps[[#This Row],[Part 2]]=$AC$2,TblImps[[#This Row],[Amount 2]]*gem_invest)) + IF(TblImps[[#This Row],[Resource 3]]=BP$2,IF(TblImps[[#This Row],[Part 3]]=$AC$2,TblImps[[#This Row],[Amount 3]]*gem_invest))</calculatedColumnFormula>
    </tableColumn>
    <tableColumn id="68" xr3:uid="{099954FE-B697-4DA6-AFF1-CD53B979F914}" name="…........" dataDxfId="144"/>
    <tableColumn id="69" xr3:uid="{C84893E8-5E85-463B-9E51-879ADAA64B83}" name="P7" dataDxfId="143">
      <calculatedColumnFormula>IF(TblImps[[#This Row],[Resource]]=BR$2,IF(TblImps[[#This Row],[Part]]=$AD$2,TblImps[[#This Row],[Amount]]*plat_invest)) + IF(TblImps[[#This Row],[Resource 2]]=BR$2,IF(TblImps[[#This Row],[Part 2]]=$AD$2,TblImps[[#This Row],[Amount 2]]*plat_invest)) + IF(TblImps[[#This Row],[Resource 3]]=BR$2,IF(TblImps[[#This Row],[Part 3]]=$AD$2,TblImps[[#This Row],[Amount 3]]*plat_invest))</calculatedColumnFormula>
    </tableColumn>
    <tableColumn id="70" xr3:uid="{48F49DEB-7DDE-4B3E-8C67-B32AB76DD814}" name="L7" dataDxfId="142">
      <calculatedColumnFormula>IF(TblImps[[#This Row],[Resource]]=BS$2,IF(TblImps[[#This Row],[Part]]=$AD$2,TblImps[[#This Row],[Amount]]*lumber_invest)) + IF(TblImps[[#This Row],[Resource 2]]=BS$2,IF(TblImps[[#This Row],[Part 2]]=$AD$2,TblImps[[#This Row],[Amount 2]]*lumber_invest)) + IF(TblImps[[#This Row],[Resource 3]]=BS$2,IF(TblImps[[#This Row],[Part 3]]=$AD$2,TblImps[[#This Row],[Amount 3]]*lumber_invest))</calculatedColumnFormula>
    </tableColumn>
    <tableColumn id="71" xr3:uid="{DD30EA2C-7008-455C-B999-AF907234A41D}" name="O7" dataDxfId="141">
      <calculatedColumnFormula>IF(TblImps[[#This Row],[Resource]]=BT$2,IF(TblImps[[#This Row],[Part]]=$AD$2,TblImps[[#This Row],[Amount]]*ore_invest)) + IF(TblImps[[#This Row],[Resource 2]]=BT$2,IF(TblImps[[#This Row],[Part 2]]=$AD$2,TblImps[[#This Row],[Amount 2]]*ore_invest)) + IF(TblImps[[#This Row],[Resource 3]]=BT$2,IF(TblImps[[#This Row],[Part 3]]=$AD$2,TblImps[[#This Row],[Amount 3]]*ore_invest))</calculatedColumnFormula>
    </tableColumn>
    <tableColumn id="72" xr3:uid="{609097EE-C87B-48ED-AFB5-7A961F13ECF1}" name="G7" dataDxfId="140">
      <calculatedColumnFormula>IF(TblImps[[#This Row],[Resource]]=BU$2,IF(TblImps[[#This Row],[Part]]=$AD$2,TblImps[[#This Row],[Amount]]*gem_invest)) + IF(TblImps[[#This Row],[Resource 2]]=BU$2,IF(TblImps[[#This Row],[Part 2]]=$AD$2,TblImps[[#This Row],[Amount 2]]*gem_invest)) + IF(TblImps[[#This Row],[Resource 3]]=BU$2,IF(TblImps[[#This Row],[Part 3]]=$AD$2,TblImps[[#This Row],[Amount 3]]*gem_invest))</calculatedColumnFormula>
    </tableColumn>
    <tableColumn id="73" xr3:uid="{46BE8DD2-D0E4-4267-981F-D2E3B4D9A825}" name="…........2" dataDxfId="139"/>
    <tableColumn id="74" xr3:uid="{5E81B67E-95F1-40DA-AE37-BCD09DA9E039}" name="algorithm" dataDxfId="138">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137">
      <calculatedColumnFormula>TblImps[[#This Row],[Login]]</calculatedColumnFormula>
    </tableColumn>
    <tableColumn id="76" xr3:uid="{373275D8-3CBB-4F26-950F-26616E92A24E}" name="….........." dataDxfId="136"/>
    <tableColumn id="77" xr3:uid="{E49F0585-8289-43E9-991C-7685E6B37B5A}" name="Real time" dataDxfId="135">
      <calculatedColumnFormula>OFFSET(TblImps[[#This Row],[Real time]],-1,0)+1/24</calculatedColumnFormula>
    </tableColumn>
    <tableColumn id="78" xr3:uid="{9298E765-5AD3-4871-BC34-97C5588F3D7E}" name="Servertime" dataDxfId="134">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133" dataDxfId="132">
  <autoFilter ref="B2:E23" xr:uid="{D5B14ACA-C49B-4874-B495-C20CC986FF5C}"/>
  <tableColumns count="4">
    <tableColumn id="1" xr3:uid="{FDF1E222-5EC6-4F67-8D2F-219358D518C5}" name="Stats" dataDxfId="131"/>
    <tableColumn id="9" xr3:uid="{92C958C2-2DCD-4CDD-88AA-98294134A916}" name="Abbr" dataDxfId="130"/>
    <tableColumn id="2" xr3:uid="{1E0B1FDB-30FB-48CA-BD3D-8DF2FCB4975C}" name="Number" dataDxfId="129">
      <calculatedColumnFormula>_xlfn.IFNA(INDEX(TblConstr[],MATCH(Log!$I$28,TblConstr[Hour],0),MATCH(TblStats[[#This Row],[Abbr]],TblConstr[#Headers],0)),0)</calculatedColumnFormula>
    </tableColumn>
    <tableColumn id="3" xr3:uid="{ADBF0C8B-030F-4EBA-8274-EAA1CE134BB1}" name="Percent" dataDxfId="128"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127" dataDxfId="126" tableBorderDxfId="125">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124"/>
    <tableColumn id="2" xr3:uid="{00000000-0010-0000-0100-000002000000}" name="Alignment" dataDxfId="123"/>
    <tableColumn id="3" xr3:uid="{00000000-0010-0000-0100-000003000000}" name="Homeland_Type" dataDxfId="122"/>
    <tableColumn id="4" xr3:uid="{00000000-0010-0000-0100-000004000000}" name="Unitname" dataDxfId="121"/>
    <tableColumn id="5" xr3:uid="{00000000-0010-0000-0100-000005000000}" name="OffensePwr" dataDxfId="120"/>
    <tableColumn id="6" xr3:uid="{00000000-0010-0000-0100-000006000000}" name="DefensePwr" dataDxfId="119"/>
    <tableColumn id="7" xr3:uid="{00000000-0010-0000-0100-000007000000}" name="Platcost" dataDxfId="118"/>
    <tableColumn id="8" xr3:uid="{00000000-0010-0000-0100-000008000000}" name="Orecost" dataDxfId="117"/>
    <tableColumn id="9" xr3:uid="{00000000-0010-0000-0100-000009000000}" name="Networth" dataDxfId="116"/>
    <tableColumn id="12" xr3:uid="{00000000-0010-0000-0100-00000C000000}" name="Max population" dataDxfId="115"/>
    <tableColumn id="13" xr3:uid="{00000000-0010-0000-0100-00000D000000}" name="Pop growth" dataDxfId="114"/>
    <tableColumn id="14" xr3:uid="{00000000-0010-0000-0100-00000E000000}" name="Platinum prod" dataDxfId="113"/>
    <tableColumn id="15" xr3:uid="{00000000-0010-0000-0100-00000F000000}" name="Food prod" dataDxfId="112"/>
    <tableColumn id="16" xr3:uid="{00000000-0010-0000-0100-000010000000}" name="Lumber prod" dataDxfId="111"/>
    <tableColumn id="17" xr3:uid="{00000000-0010-0000-0100-000011000000}" name="Mana prod" dataDxfId="110"/>
    <tableColumn id="18" xr3:uid="{00000000-0010-0000-0100-000012000000}" name="Ore prod" dataDxfId="109"/>
    <tableColumn id="19" xr3:uid="{00000000-0010-0000-0100-000013000000}" name="Gem prod" dataDxfId="108"/>
    <tableColumn id="20" xr3:uid="{00000000-0010-0000-0100-000014000000}" name="Food cons" dataDxfId="107"/>
    <tableColumn id="21" xr3:uid="{00000000-0010-0000-0100-000015000000}" name="Defense" dataDxfId="106"/>
    <tableColumn id="22" xr3:uid="{00000000-0010-0000-0100-000016000000}" name="Offense" dataDxfId="105"/>
    <tableColumn id="23" xr3:uid="{00000000-0010-0000-0100-000017000000}" name="Spy strength" dataDxfId="104"/>
    <tableColumn id="24" xr3:uid="{00000000-0010-0000-0100-000018000000}" name="Wizard strength" dataDxfId="103"/>
    <tableColumn id="25" xr3:uid="{00000000-0010-0000-0100-000019000000}" name="Invest bonus" dataDxfId="102"/>
    <tableColumn id="26" xr3:uid="{00000000-0010-0000-0100-00001A000000}" name="Rezone Cost" dataDxfId="101" dataCellStyle="Percent"/>
    <tableColumn id="27" xr3:uid="{00000000-0010-0000-0100-00001B000000}" name="Construction Cost" dataDxfId="100"/>
    <tableColumn id="28" xr3:uid="{00000000-0010-0000-0100-00001C000000}" name="Research" dataDxfId="99"/>
    <tableColumn id="10" xr3:uid="{93A4F69F-9C60-42FB-B0E6-B78AAB579797}" name="Explore Cost" dataDxfId="98"/>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97" dataDxfId="96">
  <autoFilter ref="D98:D104" xr:uid="{00000000-0009-0000-0100-000002000000}"/>
  <tableColumns count="1">
    <tableColumn id="1" xr3:uid="{00000000-0010-0000-0200-000001000000}" name="waves:" dataDxfId="95"/>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1104</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1168</v>
      </c>
      <c r="K8" s="499"/>
      <c r="L8" s="500"/>
      <c r="M8" s="515"/>
      <c r="N8" s="516"/>
      <c r="O8" s="517"/>
    </row>
    <row r="9" spans="1:15" s="44" customFormat="1" ht="12.75" customHeight="1" x14ac:dyDescent="0.2">
      <c r="A9" s="493" t="s">
        <v>1160</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1161</v>
      </c>
      <c r="L14" s="44"/>
      <c r="M14" s="44"/>
      <c r="O14" s="79"/>
    </row>
    <row r="15" spans="1:15" s="44" customFormat="1" ht="12.75" customHeight="1" x14ac:dyDescent="0.2">
      <c r="A15" s="45" t="s">
        <v>446</v>
      </c>
      <c r="B15" s="131">
        <v>46102</v>
      </c>
      <c r="D15" s="45" t="s">
        <v>322</v>
      </c>
      <c r="E15" s="53">
        <f>B15+(1+B16-1)/24+B18-6/24</f>
        <v>46101.75</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46097.026021759259</v>
      </c>
      <c r="H16" s="45" t="s">
        <v>163</v>
      </c>
      <c r="I16" s="54">
        <f>INDEX(TblRaces[[Max population]:[Explore Cost]],MATCH(race,TblRaces[Race],0),MATCH(Table4[[#This Row],[Race Bonuses]],TblRaces[[#Headers],[Max population]:[Explore Cost]],0))</f>
        <v>0</v>
      </c>
      <c r="K16" s="45" t="s">
        <v>170</v>
      </c>
      <c r="L16" s="474">
        <v>0</v>
      </c>
      <c r="M16" s="478" t="s">
        <v>1155</v>
      </c>
      <c r="O16" s="51"/>
    </row>
    <row r="17" spans="1:15" s="44" customFormat="1" ht="12.75" customHeight="1" thickBot="1" x14ac:dyDescent="0.25">
      <c r="A17" s="45" t="s">
        <v>319</v>
      </c>
      <c r="B17" s="55">
        <f ca="1">TODAY()</f>
        <v>46097</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1156</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1157</v>
      </c>
      <c r="O18" s="51"/>
    </row>
    <row r="19" spans="1:15" s="44" customFormat="1" x14ac:dyDescent="0.2">
      <c r="H19" s="45" t="s">
        <v>107</v>
      </c>
      <c r="I19" s="54">
        <f>INDEX(TblRaces[[Max population]:[Explore Cost]],MATCH(race,TblRaces[Race],0),MATCH(Table4[[#This Row],[Race Bonuses]],TblRaces[[#Headers],[Max population]:[Explore Cost]],0))</f>
        <v>0.05</v>
      </c>
      <c r="J19" s="49"/>
      <c r="K19" s="45" t="s">
        <v>1151</v>
      </c>
      <c r="L19" s="472">
        <v>0</v>
      </c>
      <c r="M19" s="477" t="s">
        <v>1158</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1147</v>
      </c>
      <c r="L20" s="472">
        <v>0</v>
      </c>
      <c r="M20" s="477" t="s">
        <v>1159</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315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1148</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1145</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1144</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1146</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1150</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1152</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1153</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1143</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1149</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f ca="1">B39*B22+E98*C98</f>
        <v>0</v>
      </c>
      <c r="D39" s="87">
        <f ca="1">Military!Q40</f>
        <v>2.5000000000000001E-2</v>
      </c>
      <c r="E39" s="85">
        <f ca="1">C39*(1+$D$39)</f>
        <v>0</v>
      </c>
      <c r="F39" s="88">
        <f ca="1">B39*C22</f>
        <v>0</v>
      </c>
      <c r="G39" s="87">
        <f ca="1">Military!U40</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377</v>
      </c>
      <c r="C44" s="101"/>
      <c r="E44" s="102"/>
      <c r="F44" s="94">
        <f ca="1">Military!AA40</f>
        <v>377</v>
      </c>
      <c r="H44" s="94">
        <f ca="1">F44*(1+$G$39)</f>
        <v>377</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377</v>
      </c>
      <c r="H46" s="100">
        <f ca="1">H44+H43+H45</f>
        <v>377</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1142</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110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0.27272727272727271</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110</v>
      </c>
      <c r="C56" s="44"/>
      <c r="D56" s="108" t="str">
        <f>Construction!BD3</f>
        <v>Tot Ly</v>
      </c>
      <c r="E56" s="45">
        <f ca="1">Construction!BD40</f>
        <v>20</v>
      </c>
      <c r="F56" s="110">
        <f t="shared" ca="1" si="0"/>
        <v>0.18181818181818182</v>
      </c>
      <c r="G56" s="44"/>
      <c r="H56" s="50" t="s">
        <v>2</v>
      </c>
      <c r="I56" s="44"/>
      <c r="J56" s="44"/>
      <c r="K56" s="44"/>
      <c r="L56" s="210"/>
      <c r="M56" s="466"/>
      <c r="N56" s="210"/>
      <c r="O56" s="51"/>
    </row>
    <row r="57" spans="1:15" x14ac:dyDescent="0.2">
      <c r="A57" s="114" t="s">
        <v>21</v>
      </c>
      <c r="B57" s="400">
        <f ca="1">Population!C40</f>
        <v>699</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377</v>
      </c>
      <c r="C58" s="44"/>
      <c r="D58" s="108" t="str">
        <f>Construction!BF3</f>
        <v>Tot OM</v>
      </c>
      <c r="E58" s="45">
        <f ca="1">Construction!BF40</f>
        <v>0</v>
      </c>
      <c r="F58" s="110">
        <f t="shared" ca="1" si="0"/>
        <v>0</v>
      </c>
      <c r="G58" s="44"/>
      <c r="H58" s="116">
        <v>37</v>
      </c>
      <c r="I58" s="61">
        <f ca="1">Production!H28</f>
        <v>87576</v>
      </c>
      <c r="J58" s="61">
        <f ca="1">Production!H28+SUM(Military!AS4:AS28)</f>
        <v>87576</v>
      </c>
      <c r="K58" s="44"/>
      <c r="L58" s="210"/>
      <c r="M58" s="466"/>
      <c r="N58" s="210"/>
      <c r="O58" s="51"/>
    </row>
    <row r="59" spans="1:15" x14ac:dyDescent="0.2">
      <c r="A59" s="114" t="s">
        <v>230</v>
      </c>
      <c r="B59" s="400">
        <f ca="1">Production!G40</f>
        <v>2450</v>
      </c>
      <c r="C59" s="44"/>
      <c r="D59" s="108" t="str">
        <f>Construction!BG3</f>
        <v>Tot GN</v>
      </c>
      <c r="E59" s="45">
        <f ca="1">Construction!BG40</f>
        <v>0</v>
      </c>
      <c r="F59" s="110">
        <f t="shared" ca="1" si="0"/>
        <v>0</v>
      </c>
      <c r="G59" s="44"/>
      <c r="H59" s="116">
        <v>40</v>
      </c>
      <c r="I59" s="61">
        <f ca="1">Production!H31</f>
        <v>93560</v>
      </c>
      <c r="J59" s="61">
        <f ca="1">Production!H31+SUM(Military!AS5:AS31)</f>
        <v>93560</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111400</v>
      </c>
      <c r="J60" s="61">
        <f ca="1">Production!H40+SUM(Military!AS4:AS40)</f>
        <v>111400</v>
      </c>
      <c r="K60" s="117"/>
      <c r="L60" s="210"/>
      <c r="M60" s="466"/>
      <c r="N60" s="210"/>
      <c r="O60" s="51"/>
    </row>
    <row r="61" spans="1:15" x14ac:dyDescent="0.2">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1887</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111400</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81943</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90</v>
      </c>
      <c r="F70" s="120">
        <f ca="1">E70/E50</f>
        <v>0.81818181818181823</v>
      </c>
      <c r="G70" s="44"/>
      <c r="I70" s="44"/>
      <c r="K70" s="44"/>
      <c r="L70" s="44"/>
      <c r="M70" s="44"/>
      <c r="N70" s="44"/>
      <c r="O70" s="51"/>
    </row>
    <row r="71" spans="1:15" x14ac:dyDescent="0.2">
      <c r="A71" s="114" t="s">
        <v>274</v>
      </c>
      <c r="B71" s="400">
        <f>Construction!D40</f>
        <v>0</v>
      </c>
      <c r="C71" s="44"/>
      <c r="D71" s="5" t="s">
        <v>357</v>
      </c>
      <c r="E71" s="35">
        <f ca="1">E50-SUM(E51:E69)-B71</f>
        <v>60</v>
      </c>
      <c r="F71" s="123">
        <f ca="1">E71/E50</f>
        <v>0.54545454545454541</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IF(Constants!F119="none",$F$70/Constants!C119,MIN(Constants!F119,$F$70/Constants!C119))</f>
        <v>2</v>
      </c>
      <c r="E79" s="124" t="b">
        <f>$B$14=A79</f>
        <v>0</v>
      </c>
    </row>
    <row r="80" spans="1:15" x14ac:dyDescent="0.2">
      <c r="A80" s="124"/>
      <c r="B80" s="124" t="s">
        <v>125</v>
      </c>
      <c r="C80" s="128">
        <f ca="1">IF(Constants!F120="none",$F$70/Constants!C120,MIN(Constants!F120,$F$70/Constants!C120))</f>
        <v>2</v>
      </c>
      <c r="D80" s="128">
        <f ca="1">IF(Constants!F121="none",$F$70/Constants!C121,MIN(Constants!F121,$F$70/Constants!C121))</f>
        <v>2</v>
      </c>
      <c r="E80" s="124"/>
    </row>
    <row r="81" spans="1:5" x14ac:dyDescent="0.2">
      <c r="A81" s="124" t="s">
        <v>96</v>
      </c>
      <c r="B81" s="124" t="s">
        <v>139</v>
      </c>
      <c r="C81" s="128"/>
      <c r="D81" s="128">
        <f ca="1">MIN(Constants!F122,$F$70/Constants!C122)</f>
        <v>4</v>
      </c>
      <c r="E81" s="124" t="b">
        <f>$B$14=A81</f>
        <v>0</v>
      </c>
    </row>
    <row r="82" spans="1:5" x14ac:dyDescent="0.2">
      <c r="A82" s="124" t="s">
        <v>94</v>
      </c>
      <c r="B82" s="124" t="s">
        <v>132</v>
      </c>
      <c r="C82" s="128"/>
      <c r="D82" s="128">
        <f ca="1">MIN(Constants!F123,$F$70/Constants!C123)</f>
        <v>2</v>
      </c>
      <c r="E82" s="124" t="b">
        <f>$B$14=A82</f>
        <v>0</v>
      </c>
    </row>
    <row r="83" spans="1:5" x14ac:dyDescent="0.2">
      <c r="A83" s="124" t="s">
        <v>99</v>
      </c>
      <c r="B83" s="124" t="s">
        <v>147</v>
      </c>
      <c r="C83" s="128">
        <f ca="1">MIN(Constants!F124,F66/Constants!C124)</f>
        <v>0</v>
      </c>
      <c r="D83" s="128">
        <f ca="1">MIN(Constants!F125,F66/Constants!C125)</f>
        <v>0</v>
      </c>
      <c r="E83" s="124" t="b">
        <f>$B$14=A83</f>
        <v>0</v>
      </c>
    </row>
    <row r="84" spans="1:5" x14ac:dyDescent="0.2">
      <c r="A84" s="124" t="s">
        <v>328</v>
      </c>
      <c r="B84" s="124" t="s">
        <v>331</v>
      </c>
      <c r="C84" s="124"/>
      <c r="D84" s="128">
        <f ca="1">MIN(Constants!F126,F70/Constants!C126)</f>
        <v>3</v>
      </c>
      <c r="E84" s="124" t="b">
        <f>$B$14=A84</f>
        <v>0</v>
      </c>
    </row>
    <row r="85" spans="1:5" x14ac:dyDescent="0.2">
      <c r="A85" s="124"/>
      <c r="B85" s="124" t="s">
        <v>332</v>
      </c>
      <c r="C85" s="124">
        <f ca="1">MIN(Constants!F127,I54*Constants!C127)</f>
        <v>0</v>
      </c>
      <c r="D85" s="124"/>
      <c r="E85" s="124"/>
    </row>
    <row r="86" spans="1:5" x14ac:dyDescent="0.2">
      <c r="A86" s="124" t="s">
        <v>143</v>
      </c>
      <c r="B86" s="124" t="s">
        <v>373</v>
      </c>
      <c r="C86" s="124"/>
      <c r="D86" s="128">
        <f>MIN(Constants!F128,250/Constants!C128)</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1139</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3" priority="7" stopIfTrue="1">
      <formula>$D$47&lt;&gt;""</formula>
    </cfRule>
  </conditionalFormatting>
  <conditionalFormatting sqref="E18">
    <cfRule type="cellIs" dxfId="92" priority="8" stopIfTrue="1" operator="equal">
      <formula>"""Yes"""</formula>
    </cfRule>
    <cfRule type="expression" dxfId="91" priority="9" stopIfTrue="1">
      <formula>ISERROR(E18)</formula>
    </cfRule>
  </conditionalFormatting>
  <conditionalFormatting sqref="E17">
    <cfRule type="cellIs" dxfId="90" priority="10" stopIfTrue="1" operator="lessThan">
      <formula>1</formula>
    </cfRule>
  </conditionalFormatting>
  <conditionalFormatting sqref="A30">
    <cfRule type="expression" dxfId="89" priority="5">
      <formula>$B$14&lt;&gt;"Dark Elf"</formula>
    </cfRule>
    <cfRule type="expression" dxfId="88" priority="6">
      <formula>$B$14="Dark Elf"</formula>
    </cfRule>
  </conditionalFormatting>
  <conditionalFormatting sqref="M69">
    <cfRule type="cellIs" dxfId="87" priority="3" operator="lessThan">
      <formula>$M$50</formula>
    </cfRule>
    <cfRule type="cellIs" dxfId="86" priority="4" operator="greaterThan">
      <formula>$M$50</formula>
    </cfRule>
  </conditionalFormatting>
  <conditionalFormatting sqref="L35">
    <cfRule type="expression" dxfId="85" priority="1">
      <formula>$L$35&lt;&gt;start_acres</formula>
    </cfRule>
    <cfRule type="expression" dxfId="84"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46101.75</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DnD]]&gt;6),1.5,1),0)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hidden="1" x14ac:dyDescent="0.2">
      <c r="A5" s="137">
        <f>TblRezone[[#This Row],[Hour]]</f>
        <v>2</v>
      </c>
      <c r="B5" s="138">
        <f ca="1">TblImps[[#This Row],[Time]]</f>
        <v>46101.791666666664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DnD]]&gt;6),1.5,1),0)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hidden="1" x14ac:dyDescent="0.2">
      <c r="A6" s="137">
        <f>TblRezone[[#This Row],[Hour]]</f>
        <v>3</v>
      </c>
      <c r="B6" s="138">
        <f ca="1">TblImps[[#This Row],[Time]]</f>
        <v>46101.833333333328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DnD]]&gt;6),1.5,1),0)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hidden="1" x14ac:dyDescent="0.2">
      <c r="A7" s="137">
        <f>TblRezone[[#This Row],[Hour]]</f>
        <v>4</v>
      </c>
      <c r="B7" s="138">
        <f ca="1">TblImps[[#This Row],[Time]]</f>
        <v>46101.874999999993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DnD]]&gt;6),1.5,1),0)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hidden="1" x14ac:dyDescent="0.2">
      <c r="A8" s="137">
        <f>TblRezone[[#This Row],[Hour]]</f>
        <v>5</v>
      </c>
      <c r="B8" s="138">
        <f ca="1">TblImps[[#This Row],[Time]]</f>
        <v>46101.916666666657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DnD]]&gt;6),1.5,1),0)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hidden="1" x14ac:dyDescent="0.2">
      <c r="A9" s="137">
        <f>TblRezone[[#This Row],[Hour]]</f>
        <v>6</v>
      </c>
      <c r="B9" s="138">
        <f ca="1">TblImps[[#This Row],[Time]]</f>
        <v>46101.958333333321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DnD]]&gt;6),1.5,1),0)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hidden="1" x14ac:dyDescent="0.2">
      <c r="A10" s="137">
        <f>TblRezone[[#This Row],[Hour]]</f>
        <v>7</v>
      </c>
      <c r="B10" s="138">
        <f ca="1">TblImps[[#This Row],[Time]]</f>
        <v>46101.999999999985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DnD]]&gt;6),1.5,1),0)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hidden="1" x14ac:dyDescent="0.2">
      <c r="A11" s="137">
        <f>TblRezone[[#This Row],[Hour]]</f>
        <v>8</v>
      </c>
      <c r="B11" s="138">
        <f ca="1">TblImps[[#This Row],[Time]]</f>
        <v>46102.04166666665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DnD]]&gt;6),1.5,1),0)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hidden="1" x14ac:dyDescent="0.2">
      <c r="A12" s="137">
        <f>TblRezone[[#This Row],[Hour]]</f>
        <v>9</v>
      </c>
      <c r="B12" s="138">
        <f ca="1">TblImps[[#This Row],[Time]]</f>
        <v>46102.083333333314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DnD]]&gt;6),1.5,1),0)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hidden="1" x14ac:dyDescent="0.2">
      <c r="A13" s="137">
        <f>TblRezone[[#This Row],[Hour]]</f>
        <v>10</v>
      </c>
      <c r="B13" s="138">
        <f ca="1">TblImps[[#This Row],[Time]]</f>
        <v>46102.124999999978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DnD]]&gt;6),1.5,1),0)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hidden="1" x14ac:dyDescent="0.2">
      <c r="A14" s="137">
        <f>TblRezone[[#This Row],[Hour]]</f>
        <v>11</v>
      </c>
      <c r="B14" s="138">
        <f ca="1">TblImps[[#This Row],[Time]]</f>
        <v>46102.166666666642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DnD]]&gt;6),1.5,1),0)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hidden="1" x14ac:dyDescent="0.2">
      <c r="A15" s="137">
        <f>TblRezone[[#This Row],[Hour]]</f>
        <v>12</v>
      </c>
      <c r="B15" s="138">
        <f ca="1">TblImps[[#This Row],[Time]]</f>
        <v>46102.208333333307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11</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DnD]]&gt;6),1.5,1),0)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46102.249999999971</v>
      </c>
      <c r="C16" s="94">
        <f ca="1">OFFSET(TblPop[[#This Row],[Peasants]],-1,0)+OFFSET(TblPop[[#This Row],[Net Peasant]],-1,0)+TblMili[[#This Row],[Release Draft]]</f>
        <v>573</v>
      </c>
      <c r="D16" s="94">
        <f ca="1">TblMili[[#This Row],[Military]]</f>
        <v>213</v>
      </c>
      <c r="E16" s="94">
        <f ca="1">TblMili[[#This Row],[Draftees]]</f>
        <v>213</v>
      </c>
      <c r="F16" s="94">
        <f ca="1">TblPop[[#This Row],[Peasants]]+TblPop[[#This Row],[Military]]</f>
        <v>786</v>
      </c>
      <c r="G16" s="139">
        <f ca="1">TblPop[[#This Row],[Military]]/TblPop[[#This Row],[Total]]</f>
        <v>0.27099236641221375</v>
      </c>
      <c r="H16" s="140">
        <f ca="1">MIN(TblPop[[#This Row],[Peasants]],TblPop[[#This Row],[Jobs]])</f>
        <v>573</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1076</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6" s="94">
        <f ca="1">MAX(-5%*TblPop[[#This Row],[Peasants]]-TblPop[[#This Row],[Draft Growth]],MIN(OFFSET(TblPop[[#This Row],[Net max]],1,0)-TblPop[[#This Row],[Peasants]]-TblPop[[#This Row],[Military]]-TblPop[[#This Row],[Draft Growth]],TblPop[[#This Row],[Modded Birth]]-TblPop[[#This Row],[Draft Growth]]))</f>
        <v>11</v>
      </c>
      <c r="X16" s="94">
        <f ca="1">ROUND(TblPop[[#This Row],[Raw Birth]]*(1+TblPop[[#This Row],[Growth]]),0)</f>
        <v>17</v>
      </c>
      <c r="Y16" s="94">
        <f ca="1">(TblPop[[#This Row],[Peasants]]-TblPop[[#This Row],[Draft Growth]])*raw_pop_growth</f>
        <v>17.009999999999998</v>
      </c>
      <c r="Z16" s="94">
        <f ca="1">ROUND(IF(TblPop[[#This Row],[Military%]]&lt;TblMili[[#This Row],[Draftrate]],ROUND(TblPop[[#This Row],[Peasants]]*Constants!$B$55,0), 0) * IF(AND(TblMagic[[#This Row],[Active DnD]]&lt;=12,TblMagic[[#This Row],[Active DnD]]&gt;6),1.5,1),0)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hidden="1" x14ac:dyDescent="0.2">
      <c r="A17" s="137">
        <f>TblRezone[[#This Row],[Hour]]</f>
        <v>14</v>
      </c>
      <c r="B17" s="138">
        <f ca="1">TblImps[[#This Row],[Time]]</f>
        <v>46102.291666666635</v>
      </c>
      <c r="C17" s="94">
        <f ca="1">OFFSET(TblPop[[#This Row],[Peasants]],-1,0)+OFFSET(TblPop[[#This Row],[Net Peasant]],-1,0)+TblMili[[#This Row],[Release Draft]]</f>
        <v>584</v>
      </c>
      <c r="D17" s="94">
        <f ca="1">TblMili[[#This Row],[Military]]</f>
        <v>219</v>
      </c>
      <c r="E17" s="94">
        <f ca="1">TblMili[[#This Row],[Draftees]]</f>
        <v>219</v>
      </c>
      <c r="F17" s="94">
        <f ca="1">TblPop[[#This Row],[Peasants]]+TblPop[[#This Row],[Military]]</f>
        <v>803</v>
      </c>
      <c r="G17" s="139">
        <f ca="1">TblPop[[#This Row],[Military]]/TblPop[[#This Row],[Total]]</f>
        <v>0.27272727272727271</v>
      </c>
      <c r="H17" s="140">
        <f ca="1">MIN(TblPop[[#This Row],[Peasants]],TblPop[[#This Row],[Jobs]])</f>
        <v>584</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1076</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7" s="94">
        <f ca="1">MAX(-5%*TblPop[[#This Row],[Peasants]]-TblPop[[#This Row],[Draft Growth]],MIN(OFFSET(TblPop[[#This Row],[Net max]],1,0)-TblPop[[#This Row],[Peasants]]-TblPop[[#This Row],[Military]]-TblPop[[#This Row],[Draft Growth]],TblPop[[#This Row],[Modded Birth]]-TblPop[[#This Row],[Draft Growth]]))</f>
        <v>11</v>
      </c>
      <c r="X17" s="94">
        <f ca="1">ROUND(TblPop[[#This Row],[Raw Birth]]*(1+TblPop[[#This Row],[Growth]]),0)</f>
        <v>17</v>
      </c>
      <c r="Y17" s="94">
        <f ca="1">(TblPop[[#This Row],[Peasants]]-TblPop[[#This Row],[Draft Growth]])*raw_pop_growth</f>
        <v>17.34</v>
      </c>
      <c r="Z17" s="94">
        <f ca="1">ROUND(IF(TblPop[[#This Row],[Military%]]&lt;TblMili[[#This Row],[Draftrate]],ROUND(TblPop[[#This Row],[Peasants]]*Constants!$B$55,0), 0) * IF(AND(TblMagic[[#This Row],[Active DnD]]&lt;=12,TblMagic[[#This Row],[Active DnD]]&gt;6),1.5,1),0)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hidden="1" x14ac:dyDescent="0.2">
      <c r="A18" s="137">
        <f>TblRezone[[#This Row],[Hour]]</f>
        <v>15</v>
      </c>
      <c r="B18" s="138">
        <f ca="1">TblImps[[#This Row],[Time]]</f>
        <v>46102.333333333299</v>
      </c>
      <c r="C18" s="94">
        <f ca="1">OFFSET(TblPop[[#This Row],[Peasants]],-1,0)+OFFSET(TblPop[[#This Row],[Net Peasant]],-1,0)+TblMili[[#This Row],[Release Draft]]</f>
        <v>595</v>
      </c>
      <c r="D18" s="94">
        <f ca="1">TblMili[[#This Row],[Military]]</f>
        <v>225</v>
      </c>
      <c r="E18" s="94">
        <f ca="1">TblMili[[#This Row],[Draftees]]</f>
        <v>225</v>
      </c>
      <c r="F18" s="94">
        <f ca="1">TblPop[[#This Row],[Peasants]]+TblPop[[#This Row],[Military]]</f>
        <v>820</v>
      </c>
      <c r="G18" s="139">
        <f ca="1">TblPop[[#This Row],[Military]]/TblPop[[#This Row],[Total]]</f>
        <v>0.27439024390243905</v>
      </c>
      <c r="H18" s="140">
        <f ca="1">MIN(TblPop[[#This Row],[Peasants]],TblPop[[#This Row],[Jobs]])</f>
        <v>595</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1076</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8" s="94">
        <f ca="1">MAX(-5%*TblPop[[#This Row],[Peasants]]-TblPop[[#This Row],[Draft Growth]],MIN(OFFSET(TblPop[[#This Row],[Net max]],1,0)-TblPop[[#This Row],[Peasants]]-TblPop[[#This Row],[Military]]-TblPop[[#This Row],[Draft Growth]],TblPop[[#This Row],[Modded Birth]]-TblPop[[#This Row],[Draft Growth]]))</f>
        <v>12</v>
      </c>
      <c r="X18" s="94">
        <f ca="1">ROUND(TblPop[[#This Row],[Raw Birth]]*(1+TblPop[[#This Row],[Growth]]),0)</f>
        <v>18</v>
      </c>
      <c r="Y18" s="94">
        <f ca="1">(TblPop[[#This Row],[Peasants]]-TblPop[[#This Row],[Draft Growth]])*raw_pop_growth</f>
        <v>17.669999999999998</v>
      </c>
      <c r="Z18" s="94">
        <f ca="1">ROUND(IF(TblPop[[#This Row],[Military%]]&lt;TblMili[[#This Row],[Draftrate]],ROUND(TblPop[[#This Row],[Peasants]]*Constants!$B$55,0), 0) * IF(AND(TblMagic[[#This Row],[Active DnD]]&lt;=12,TblMagic[[#This Row],[Active DnD]]&gt;6),1.5,1),0)</f>
        <v>6</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hidden="1" x14ac:dyDescent="0.2">
      <c r="A19" s="137">
        <f>TblRezone[[#This Row],[Hour]]</f>
        <v>16</v>
      </c>
      <c r="B19" s="138">
        <f ca="1">TblImps[[#This Row],[Time]]</f>
        <v>46102.374999999964</v>
      </c>
      <c r="C19" s="94">
        <f ca="1">OFFSET(TblPop[[#This Row],[Peasants]],-1,0)+OFFSET(TblPop[[#This Row],[Net Peasant]],-1,0)+TblMili[[#This Row],[Release Draft]]</f>
        <v>607</v>
      </c>
      <c r="D19" s="94">
        <f ca="1">TblMili[[#This Row],[Military]]</f>
        <v>231</v>
      </c>
      <c r="E19" s="94">
        <f ca="1">TblMili[[#This Row],[Draftees]]</f>
        <v>231</v>
      </c>
      <c r="F19" s="94">
        <f ca="1">TblPop[[#This Row],[Peasants]]+TblPop[[#This Row],[Military]]</f>
        <v>838</v>
      </c>
      <c r="G19" s="139">
        <f ca="1">TblPop[[#This Row],[Military]]/TblPop[[#This Row],[Total]]</f>
        <v>0.27565632458233891</v>
      </c>
      <c r="H19" s="140">
        <f ca="1">MIN(TblPop[[#This Row],[Peasants]],TblPop[[#This Row],[Jobs]])</f>
        <v>607</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1076</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9" s="94">
        <f ca="1">MAX(-5%*TblPop[[#This Row],[Peasants]]-TblPop[[#This Row],[Draft Growth]],MIN(OFFSET(TblPop[[#This Row],[Net max]],1,0)-TblPop[[#This Row],[Peasants]]-TblPop[[#This Row],[Military]]-TblPop[[#This Row],[Draft Growth]],TblPop[[#This Row],[Modded Birth]]-TblPop[[#This Row],[Draft Growth]]))</f>
        <v>12</v>
      </c>
      <c r="X19" s="94">
        <f ca="1">ROUND(TblPop[[#This Row],[Raw Birth]]*(1+TblPop[[#This Row],[Growth]]),0)</f>
        <v>18</v>
      </c>
      <c r="Y19" s="94">
        <f ca="1">(TblPop[[#This Row],[Peasants]]-TblPop[[#This Row],[Draft Growth]])*raw_pop_growth</f>
        <v>18.029999999999998</v>
      </c>
      <c r="Z19" s="94">
        <f ca="1">ROUND(IF(TblPop[[#This Row],[Military%]]&lt;TblMili[[#This Row],[Draftrate]],ROUND(TblPop[[#This Row],[Peasants]]*Constants!$B$55,0), 0) * IF(AND(TblMagic[[#This Row],[Active DnD]]&lt;=12,TblMagic[[#This Row],[Active DnD]]&gt;6),1.5,1),0)</f>
        <v>6</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hidden="1" x14ac:dyDescent="0.2">
      <c r="A20" s="137">
        <f>TblRezone[[#This Row],[Hour]]</f>
        <v>17</v>
      </c>
      <c r="B20" s="138">
        <f ca="1">TblImps[[#This Row],[Time]]</f>
        <v>46102.416666666628</v>
      </c>
      <c r="C20" s="94">
        <f ca="1">OFFSET(TblPop[[#This Row],[Peasants]],-1,0)+OFFSET(TblPop[[#This Row],[Net Peasant]],-1,0)+TblMili[[#This Row],[Release Draft]]</f>
        <v>619</v>
      </c>
      <c r="D20" s="94">
        <f ca="1">TblMili[[#This Row],[Military]]</f>
        <v>237</v>
      </c>
      <c r="E20" s="94">
        <f ca="1">TblMili[[#This Row],[Draftees]]</f>
        <v>237</v>
      </c>
      <c r="F20" s="94">
        <f ca="1">TblPop[[#This Row],[Peasants]]+TblPop[[#This Row],[Military]]</f>
        <v>856</v>
      </c>
      <c r="G20" s="139">
        <f ca="1">TblPop[[#This Row],[Military]]/TblPop[[#This Row],[Total]]</f>
        <v>0.27686915887850466</v>
      </c>
      <c r="H20" s="140">
        <f ca="1">MIN(TblPop[[#This Row],[Peasants]],TblPop[[#This Row],[Jobs]])</f>
        <v>619</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237</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1076</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0" s="94">
        <f ca="1">MAX(-5%*TblPop[[#This Row],[Peasants]]-TblPop[[#This Row],[Draft Growth]],MIN(OFFSET(TblPop[[#This Row],[Net max]],1,0)-TblPop[[#This Row],[Peasants]]-TblPop[[#This Row],[Military]]-TblPop[[#This Row],[Draft Growth]],TblPop[[#This Row],[Modded Birth]]-TblPop[[#This Row],[Draft Growth]]))</f>
        <v>12</v>
      </c>
      <c r="X20" s="94">
        <f ca="1">ROUND(TblPop[[#This Row],[Raw Birth]]*(1+TblPop[[#This Row],[Growth]]),0)</f>
        <v>18</v>
      </c>
      <c r="Y20" s="94">
        <f ca="1">(TblPop[[#This Row],[Peasants]]-TblPop[[#This Row],[Draft Growth]])*raw_pop_growth</f>
        <v>18.39</v>
      </c>
      <c r="Z20" s="94">
        <f ca="1">ROUND(IF(TblPop[[#This Row],[Military%]]&lt;TblMili[[#This Row],[Draftrate]],ROUND(TblPop[[#This Row],[Peasants]]*Constants!$B$55,0), 0) * IF(AND(TblMagic[[#This Row],[Active DnD]]&lt;=12,TblMagic[[#This Row],[Active DnD]]&gt;6),1.5,1),0)</f>
        <v>6</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hidden="1" x14ac:dyDescent="0.2">
      <c r="A21" s="137">
        <f>TblRezone[[#This Row],[Hour]]</f>
        <v>18</v>
      </c>
      <c r="B21" s="138">
        <f ca="1">TblImps[[#This Row],[Time]]</f>
        <v>46102.458333333292</v>
      </c>
      <c r="C21" s="94">
        <f ca="1">OFFSET(TblPop[[#This Row],[Peasants]],-1,0)+OFFSET(TblPop[[#This Row],[Net Peasant]],-1,0)+TblMili[[#This Row],[Release Draft]]</f>
        <v>631</v>
      </c>
      <c r="D21" s="94">
        <f ca="1">TblMili[[#This Row],[Military]]</f>
        <v>243</v>
      </c>
      <c r="E21" s="94">
        <f ca="1">TblMili[[#This Row],[Draftees]]</f>
        <v>243</v>
      </c>
      <c r="F21" s="94">
        <f ca="1">TblPop[[#This Row],[Peasants]]+TblPop[[#This Row],[Military]]</f>
        <v>874</v>
      </c>
      <c r="G21" s="139">
        <f ca="1">TblPop[[#This Row],[Military]]/TblPop[[#This Row],[Total]]</f>
        <v>0.2780320366132723</v>
      </c>
      <c r="H21" s="140">
        <f ca="1">MIN(TblPop[[#This Row],[Peasants]],TblPop[[#This Row],[Jobs]])</f>
        <v>631</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243</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1076</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1" s="94">
        <f ca="1">MAX(-5%*TblPop[[#This Row],[Peasants]]-TblPop[[#This Row],[Draft Growth]],MIN(OFFSET(TblPop[[#This Row],[Net max]],1,0)-TblPop[[#This Row],[Peasants]]-TblPop[[#This Row],[Military]]-TblPop[[#This Row],[Draft Growth]],TblPop[[#This Row],[Modded Birth]]-TblPop[[#This Row],[Draft Growth]]))</f>
        <v>13</v>
      </c>
      <c r="X21" s="94">
        <f ca="1">ROUND(TblPop[[#This Row],[Raw Birth]]*(1+TblPop[[#This Row],[Growth]]),0)</f>
        <v>19</v>
      </c>
      <c r="Y21" s="94">
        <f ca="1">(TblPop[[#This Row],[Peasants]]-TblPop[[#This Row],[Draft Growth]])*raw_pop_growth</f>
        <v>18.75</v>
      </c>
      <c r="Z21" s="94">
        <f ca="1">ROUND(IF(TblPop[[#This Row],[Military%]]&lt;TblMili[[#This Row],[Draftrate]],ROUND(TblPop[[#This Row],[Peasants]]*Constants!$B$55,0), 0) * IF(AND(TblMagic[[#This Row],[Active DnD]]&lt;=12,TblMagic[[#This Row],[Active DnD]]&gt;6),1.5,1),0)</f>
        <v>6</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hidden="1" x14ac:dyDescent="0.2">
      <c r="A22" s="137">
        <f>TblRezone[[#This Row],[Hour]]</f>
        <v>19</v>
      </c>
      <c r="B22" s="138">
        <f ca="1">TblImps[[#This Row],[Time]]</f>
        <v>46102.499999999956</v>
      </c>
      <c r="C22" s="94">
        <f ca="1">OFFSET(TblPop[[#This Row],[Peasants]],-1,0)+OFFSET(TblPop[[#This Row],[Net Peasant]],-1,0)+TblMili[[#This Row],[Release Draft]]</f>
        <v>644</v>
      </c>
      <c r="D22" s="94">
        <f ca="1">TblMili[[#This Row],[Military]]</f>
        <v>249</v>
      </c>
      <c r="E22" s="94">
        <f ca="1">TblMili[[#This Row],[Draftees]]</f>
        <v>249</v>
      </c>
      <c r="F22" s="94">
        <f ca="1">TblPop[[#This Row],[Peasants]]+TblPop[[#This Row],[Military]]</f>
        <v>893</v>
      </c>
      <c r="G22" s="139">
        <f ca="1">TblPop[[#This Row],[Military]]/TblPop[[#This Row],[Total]]</f>
        <v>0.27883538633818589</v>
      </c>
      <c r="H22" s="140">
        <f ca="1">MIN(TblPop[[#This Row],[Peasants]],TblPop[[#This Row],[Jobs]])</f>
        <v>644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249</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1076</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2" s="94">
        <f ca="1">MAX(-5%*TblPop[[#This Row],[Peasants]]-TblPop[[#This Row],[Draft Growth]],MIN(OFFSET(TblPop[[#This Row],[Net max]],1,0)-TblPop[[#This Row],[Peasants]]-TblPop[[#This Row],[Military]]-TblPop[[#This Row],[Draft Growth]],TblPop[[#This Row],[Modded Birth]]-TblPop[[#This Row],[Draft Growth]]))</f>
        <v>13</v>
      </c>
      <c r="X22" s="94">
        <f ca="1">ROUND(TblPop[[#This Row],[Raw Birth]]*(1+TblPop[[#This Row],[Growth]]),0)</f>
        <v>19</v>
      </c>
      <c r="Y22" s="94">
        <f ca="1">(TblPop[[#This Row],[Peasants]]-TblPop[[#This Row],[Draft Growth]])*raw_pop_growth</f>
        <v>19.14</v>
      </c>
      <c r="Z22" s="94">
        <f ca="1">ROUND(IF(TblPop[[#This Row],[Military%]]&lt;TblMili[[#This Row],[Draftrate]],ROUND(TblPop[[#This Row],[Peasants]]*Constants!$B$55,0), 0) * IF(AND(TblMagic[[#This Row],[Active DnD]]&lt;=12,TblMagic[[#This Row],[Active DnD]]&gt;6),1.5,1),0)</f>
        <v>6</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hidden="1" x14ac:dyDescent="0.2">
      <c r="A23" s="137">
        <f>TblRezone[[#This Row],[Hour]]</f>
        <v>20</v>
      </c>
      <c r="B23" s="138">
        <f ca="1">TblImps[[#This Row],[Time]]</f>
        <v>46102.541666666621</v>
      </c>
      <c r="C23" s="94">
        <f ca="1">OFFSET(TblPop[[#This Row],[Peasants]],-1,0)+OFFSET(TblPop[[#This Row],[Net Peasant]],-1,0)+TblMili[[#This Row],[Release Draft]]</f>
        <v>657</v>
      </c>
      <c r="D23" s="94">
        <f ca="1">TblMili[[#This Row],[Military]]</f>
        <v>255</v>
      </c>
      <c r="E23" s="94">
        <f ca="1">TblMili[[#This Row],[Draftees]]</f>
        <v>255</v>
      </c>
      <c r="F23" s="94">
        <f ca="1">TblPop[[#This Row],[Peasants]]+TblPop[[#This Row],[Military]]</f>
        <v>912</v>
      </c>
      <c r="G23" s="139">
        <f ca="1">TblPop[[#This Row],[Military]]/TblPop[[#This Row],[Total]]</f>
        <v>0.27960526315789475</v>
      </c>
      <c r="H23" s="140">
        <f ca="1">MIN(TblPop[[#This Row],[Peasants]],TblPop[[#This Row],[Jobs]])</f>
        <v>657</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255</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1076</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3" s="94">
        <f ca="1">MAX(-5%*TblPop[[#This Row],[Peasants]]-TblPop[[#This Row],[Draft Growth]],MIN(OFFSET(TblPop[[#This Row],[Net max]],1,0)-TblPop[[#This Row],[Peasants]]-TblPop[[#This Row],[Military]]-TblPop[[#This Row],[Draft Growth]],TblPop[[#This Row],[Modded Birth]]-TblPop[[#This Row],[Draft Growth]]))</f>
        <v>13</v>
      </c>
      <c r="X23" s="94">
        <f ca="1">ROUND(TblPop[[#This Row],[Raw Birth]]*(1+TblPop[[#This Row],[Growth]]),0)</f>
        <v>20</v>
      </c>
      <c r="Y23" s="94">
        <f ca="1">(TblPop[[#This Row],[Peasants]]-TblPop[[#This Row],[Draft Growth]])*raw_pop_growth</f>
        <v>19.5</v>
      </c>
      <c r="Z23" s="94">
        <f ca="1">ROUND(IF(TblPop[[#This Row],[Military%]]&lt;TblMili[[#This Row],[Draftrate]],ROUND(TblPop[[#This Row],[Peasants]]*Constants!$B$55,0), 0) * IF(AND(TblMagic[[#This Row],[Active DnD]]&lt;=12,TblMagic[[#This Row],[Active DnD]]&gt;6),1.5,1),0)</f>
        <v>7</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hidden="1" x14ac:dyDescent="0.2">
      <c r="A24" s="137">
        <f>TblRezone[[#This Row],[Hour]]</f>
        <v>21</v>
      </c>
      <c r="B24" s="138">
        <f ca="1">TblImps[[#This Row],[Time]]</f>
        <v>46102.583333333285</v>
      </c>
      <c r="C24" s="94">
        <f ca="1">OFFSET(TblPop[[#This Row],[Peasants]],-1,0)+OFFSET(TblPop[[#This Row],[Net Peasant]],-1,0)+TblMili[[#This Row],[Release Draft]]</f>
        <v>670</v>
      </c>
      <c r="D24" s="94">
        <f ca="1">TblMili[[#This Row],[Military]]</f>
        <v>262</v>
      </c>
      <c r="E24" s="94">
        <f ca="1">TblMili[[#This Row],[Draftees]]</f>
        <v>262</v>
      </c>
      <c r="F24" s="94">
        <f ca="1">TblPop[[#This Row],[Peasants]]+TblPop[[#This Row],[Military]]</f>
        <v>932</v>
      </c>
      <c r="G24" s="139">
        <f ca="1">TblPop[[#This Row],[Military]]/TblPop[[#This Row],[Total]]</f>
        <v>0.2811158798283262</v>
      </c>
      <c r="H24" s="140">
        <f ca="1">MIN(TblPop[[#This Row],[Peasants]],TblPop[[#This Row],[Jobs]])</f>
        <v>670</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262</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1076</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4" s="94">
        <f ca="1">MAX(-5%*TblPop[[#This Row],[Peasants]]-TblPop[[#This Row],[Draft Growth]],MIN(OFFSET(TblPop[[#This Row],[Net max]],1,0)-TblPop[[#This Row],[Peasants]]-TblPop[[#This Row],[Military]]-TblPop[[#This Row],[Draft Growth]],TblPop[[#This Row],[Modded Birth]]-TblPop[[#This Row],[Draft Growth]]))</f>
        <v>13</v>
      </c>
      <c r="X24" s="94">
        <f ca="1">ROUND(TblPop[[#This Row],[Raw Birth]]*(1+TblPop[[#This Row],[Growth]]),0)</f>
        <v>20</v>
      </c>
      <c r="Y24" s="94">
        <f ca="1">(TblPop[[#This Row],[Peasants]]-TblPop[[#This Row],[Draft Growth]])*raw_pop_growth</f>
        <v>19.89</v>
      </c>
      <c r="Z24" s="94">
        <f ca="1">ROUND(IF(TblPop[[#This Row],[Military%]]&lt;TblMili[[#This Row],[Draftrate]],ROUND(TblPop[[#This Row],[Peasants]]*Constants!$B$55,0), 0) * IF(AND(TblMagic[[#This Row],[Active DnD]]&lt;=12,TblMagic[[#This Row],[Active DnD]]&gt;6),1.5,1),0)</f>
        <v>7</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hidden="1" x14ac:dyDescent="0.2">
      <c r="A25" s="137">
        <f>TblRezone[[#This Row],[Hour]]</f>
        <v>22</v>
      </c>
      <c r="B25" s="138">
        <f ca="1">TblImps[[#This Row],[Time]]</f>
        <v>46102.624999999949</v>
      </c>
      <c r="C25" s="94">
        <f ca="1">OFFSET(TblPop[[#This Row],[Peasants]],-1,0)+OFFSET(TblPop[[#This Row],[Net Peasant]],-1,0)+TblMili[[#This Row],[Release Draft]]</f>
        <v>683</v>
      </c>
      <c r="D25" s="94">
        <f ca="1">TblMili[[#This Row],[Military]]</f>
        <v>269</v>
      </c>
      <c r="E25" s="94">
        <f ca="1">TblMili[[#This Row],[Draftees]]</f>
        <v>269</v>
      </c>
      <c r="F25" s="94">
        <f ca="1">TblPop[[#This Row],[Peasants]]+TblPop[[#This Row],[Military]]</f>
        <v>952</v>
      </c>
      <c r="G25" s="139">
        <f ca="1">TblPop[[#This Row],[Military]]/TblPop[[#This Row],[Total]]</f>
        <v>0.28256302521008403</v>
      </c>
      <c r="H25" s="140">
        <f ca="1">MIN(TblPop[[#This Row],[Peasants]],TblPop[[#This Row],[Jobs]])</f>
        <v>683</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269</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1076</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5" s="94">
        <f ca="1">MAX(-5%*TblPop[[#This Row],[Peasants]]-TblPop[[#This Row],[Draft Growth]],MIN(OFFSET(TblPop[[#This Row],[Net max]],1,0)-TblPop[[#This Row],[Peasants]]-TblPop[[#This Row],[Military]]-TblPop[[#This Row],[Draft Growth]],TblPop[[#This Row],[Modded Birth]]-TblPop[[#This Row],[Draft Growth]]))</f>
        <v>13</v>
      </c>
      <c r="X25" s="94">
        <f ca="1">ROUND(TblPop[[#This Row],[Raw Birth]]*(1+TblPop[[#This Row],[Growth]]),0)</f>
        <v>20</v>
      </c>
      <c r="Y25" s="94">
        <f ca="1">(TblPop[[#This Row],[Peasants]]-TblPop[[#This Row],[Draft Growth]])*raw_pop_growth</f>
        <v>20.279999999999998</v>
      </c>
      <c r="Z25" s="94">
        <f ca="1">ROUND(IF(TblPop[[#This Row],[Military%]]&lt;TblMili[[#This Row],[Draftrate]],ROUND(TblPop[[#This Row],[Peasants]]*Constants!$B$55,0), 0) * IF(AND(TblMagic[[#This Row],[Active DnD]]&lt;=12,TblMagic[[#This Row],[Active DnD]]&gt;6),1.5,1),0)</f>
        <v>7</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hidden="1" x14ac:dyDescent="0.2">
      <c r="A26" s="137">
        <f>TblRezone[[#This Row],[Hour]]</f>
        <v>23</v>
      </c>
      <c r="B26" s="138">
        <f ca="1">TblImps[[#This Row],[Time]]</f>
        <v>46102.666666666613</v>
      </c>
      <c r="C26" s="94">
        <f ca="1">OFFSET(TblPop[[#This Row],[Peasants]],-1,0)+OFFSET(TblPop[[#This Row],[Net Peasant]],-1,0)+TblMili[[#This Row],[Release Draft]]</f>
        <v>696</v>
      </c>
      <c r="D26" s="94">
        <f ca="1">TblMili[[#This Row],[Military]]</f>
        <v>276</v>
      </c>
      <c r="E26" s="94">
        <f ca="1">TblMili[[#This Row],[Draftees]]</f>
        <v>276</v>
      </c>
      <c r="F26" s="94">
        <f ca="1">TblPop[[#This Row],[Peasants]]+TblPop[[#This Row],[Military]]</f>
        <v>972</v>
      </c>
      <c r="G26" s="139">
        <f ca="1">TblPop[[#This Row],[Military]]/TblPop[[#This Row],[Total]]</f>
        <v>0.2839506172839506</v>
      </c>
      <c r="H26" s="140">
        <f ca="1">MIN(TblPop[[#This Row],[Peasants]],TblPop[[#This Row],[Jobs]])</f>
        <v>696</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276</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1076</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6" s="94">
        <f ca="1">MAX(-5%*TblPop[[#This Row],[Peasants]]-TblPop[[#This Row],[Draft Growth]],MIN(OFFSET(TblPop[[#This Row],[Net max]],1,0)-TblPop[[#This Row],[Peasants]]-TblPop[[#This Row],[Military]]-TblPop[[#This Row],[Draft Growth]],TblPop[[#This Row],[Modded Birth]]-TblPop[[#This Row],[Draft Growth]]))</f>
        <v>14</v>
      </c>
      <c r="X26" s="94">
        <f ca="1">ROUND(TblPop[[#This Row],[Raw Birth]]*(1+TblPop[[#This Row],[Growth]]),0)</f>
        <v>21</v>
      </c>
      <c r="Y26" s="94">
        <f ca="1">(TblPop[[#This Row],[Peasants]]-TblPop[[#This Row],[Draft Growth]])*raw_pop_growth</f>
        <v>20.669999999999998</v>
      </c>
      <c r="Z26" s="94">
        <f ca="1">ROUND(IF(TblPop[[#This Row],[Military%]]&lt;TblMili[[#This Row],[Draftrate]],ROUND(TblPop[[#This Row],[Peasants]]*Constants!$B$55,0), 0) * IF(AND(TblMagic[[#This Row],[Active DnD]]&lt;=12,TblMagic[[#This Row],[Active DnD]]&gt;6),1.5,1),0)</f>
        <v>7</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hidden="1" x14ac:dyDescent="0.2">
      <c r="A27" s="137">
        <f>TblRezone[[#This Row],[Hour]]</f>
        <v>24</v>
      </c>
      <c r="B27" s="138">
        <f ca="1">TblImps[[#This Row],[Time]]</f>
        <v>46102.708333333278</v>
      </c>
      <c r="C27" s="94">
        <f ca="1">OFFSET(TblPop[[#This Row],[Peasants]],-1,0)+OFFSET(TblPop[[#This Row],[Net Peasant]],-1,0)+TblMili[[#This Row],[Release Draft]]</f>
        <v>710</v>
      </c>
      <c r="D27" s="94">
        <f ca="1">TblMili[[#This Row],[Military]]</f>
        <v>283</v>
      </c>
      <c r="E27" s="94">
        <f ca="1">TblMili[[#This Row],[Draftees]]</f>
        <v>283</v>
      </c>
      <c r="F27" s="94">
        <f ca="1">TblPop[[#This Row],[Peasants]]+TblPop[[#This Row],[Military]]</f>
        <v>993</v>
      </c>
      <c r="G27" s="139">
        <f ca="1">TblPop[[#This Row],[Military]]/TblPop[[#This Row],[Total]]</f>
        <v>0.28499496475327291</v>
      </c>
      <c r="H27" s="140">
        <f ca="1">MIN(TblPop[[#This Row],[Peasants]],TblPop[[#This Row],[Jobs]])</f>
        <v>710</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283</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1076</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7" s="94">
        <f ca="1">MAX(-5%*TblPop[[#This Row],[Peasants]]-TblPop[[#This Row],[Draft Growth]],MIN(OFFSET(TblPop[[#This Row],[Net max]],1,0)-TblPop[[#This Row],[Peasants]]-TblPop[[#This Row],[Military]]-TblPop[[#This Row],[Draft Growth]],TblPop[[#This Row],[Modded Birth]]-TblPop[[#This Row],[Draft Growth]]))</f>
        <v>14</v>
      </c>
      <c r="X27" s="94">
        <f ca="1">ROUND(TblPop[[#This Row],[Raw Birth]]*(1+TblPop[[#This Row],[Growth]]),0)</f>
        <v>21</v>
      </c>
      <c r="Y27" s="94">
        <f ca="1">(TblPop[[#This Row],[Peasants]]-TblPop[[#This Row],[Draft Growth]])*raw_pop_growth</f>
        <v>21.09</v>
      </c>
      <c r="Z27" s="94">
        <f ca="1">ROUND(IF(TblPop[[#This Row],[Military%]]&lt;TblMili[[#This Row],[Draftrate]],ROUND(TblPop[[#This Row],[Peasants]]*Constants!$B$55,0), 0) * IF(AND(TblMagic[[#This Row],[Active DnD]]&lt;=12,TblMagic[[#This Row],[Active DnD]]&gt;6),1.5,1),0)</f>
        <v>7</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46102.749999999942</v>
      </c>
      <c r="C28" s="94">
        <f ca="1">OFFSET(TblPop[[#This Row],[Peasants]],-1,0)+OFFSET(TblPop[[#This Row],[Net Peasant]],-1,0)+TblMili[[#This Row],[Release Draft]]</f>
        <v>724</v>
      </c>
      <c r="D28" s="94">
        <f ca="1">TblMili[[#This Row],[Military]]</f>
        <v>290</v>
      </c>
      <c r="E28" s="94">
        <f ca="1">TblMili[[#This Row],[Draftees]]</f>
        <v>290</v>
      </c>
      <c r="F28" s="94">
        <f ca="1">TblPop[[#This Row],[Peasants]]+TblPop[[#This Row],[Military]]</f>
        <v>1014</v>
      </c>
      <c r="G28" s="139">
        <f ca="1">TblPop[[#This Row],[Military]]/TblPop[[#This Row],[Total]]</f>
        <v>0.28599605522682447</v>
      </c>
      <c r="H28" s="140">
        <f ca="1">MIN(TblPop[[#This Row],[Peasants]],TblPop[[#This Row],[Jobs]])</f>
        <v>724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290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1076</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8" s="94">
        <f ca="1">MAX(-5%*TblPop[[#This Row],[Peasants]]-TblPop[[#This Row],[Draft Growth]],MIN(OFFSET(TblPop[[#This Row],[Net max]],1,0)-TblPop[[#This Row],[Peasants]]-TblPop[[#This Row],[Military]]-TblPop[[#This Row],[Draft Growth]],TblPop[[#This Row],[Modded Birth]]-TblPop[[#This Row],[Draft Growth]]))</f>
        <v>15</v>
      </c>
      <c r="X28" s="94">
        <f ca="1">ROUND(TblPop[[#This Row],[Raw Birth]]*(1+TblPop[[#This Row],[Growth]]),0)</f>
        <v>22</v>
      </c>
      <c r="Y28" s="94">
        <f ca="1">(TblPop[[#This Row],[Peasants]]-TblPop[[#This Row],[Draft Growth]])*raw_pop_growth</f>
        <v>21.509999999999998</v>
      </c>
      <c r="Z28" s="94">
        <f ca="1">ROUND(IF(TblPop[[#This Row],[Military%]]&lt;TblMili[[#This Row],[Draftrate]],ROUND(TblPop[[#This Row],[Peasants]]*Constants!$B$55,0), 0) * IF(AND(TblMagic[[#This Row],[Active DnD]]&lt;=12,TblMagic[[#This Row],[Active DnD]]&gt;6),1.5,1),0)</f>
        <v>7</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46102.791666666606</v>
      </c>
      <c r="C29" s="94">
        <f ca="1">OFFSET(TblPop[[#This Row],[Peasants]],-1,0)+OFFSET(TblPop[[#This Row],[Net Peasant]],-1,0)+TblMili[[#This Row],[Release Draft]]</f>
        <v>739</v>
      </c>
      <c r="D29" s="94">
        <f ca="1">TblMili[[#This Row],[Military]]</f>
        <v>297</v>
      </c>
      <c r="E29" s="94">
        <f ca="1">TblMili[[#This Row],[Draftees]]</f>
        <v>297</v>
      </c>
      <c r="F29" s="94">
        <f ca="1">TblPop[[#This Row],[Peasants]]+TblPop[[#This Row],[Military]]</f>
        <v>1036</v>
      </c>
      <c r="G29" s="139">
        <f ca="1">TblPop[[#This Row],[Military]]/TblPop[[#This Row],[Total]]</f>
        <v>0.28667953667953666</v>
      </c>
      <c r="H29" s="140">
        <f ca="1">MIN(TblPop[[#This Row],[Peasants]],TblPop[[#This Row],[Jobs]])</f>
        <v>739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297</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1076</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9" s="94">
        <f ca="1">MAX(-5%*TblPop[[#This Row],[Peasants]]-TblPop[[#This Row],[Draft Growth]],MIN(OFFSET(TblPop[[#This Row],[Net max]],1,0)-TblPop[[#This Row],[Peasants]]-TblPop[[#This Row],[Military]]-TblPop[[#This Row],[Draft Growth]],TblPop[[#This Row],[Modded Birth]]-TblPop[[#This Row],[Draft Growth]]))</f>
        <v>15</v>
      </c>
      <c r="X29" s="94">
        <f ca="1">ROUND(TblPop[[#This Row],[Raw Birth]]*(1+TblPop[[#This Row],[Growth]]),0)</f>
        <v>22</v>
      </c>
      <c r="Y29" s="94">
        <f ca="1">(TblPop[[#This Row],[Peasants]]-TblPop[[#This Row],[Draft Growth]])*raw_pop_growth</f>
        <v>21.96</v>
      </c>
      <c r="Z29" s="94">
        <f ca="1">ROUND(IF(TblPop[[#This Row],[Military%]]&lt;TblMili[[#This Row],[Draftrate]],ROUND(TblPop[[#This Row],[Peasants]]*Constants!$B$55,0), 0) * IF(AND(TblMagic[[#This Row],[Active DnD]]&lt;=12,TblMagic[[#This Row],[Active DnD]]&gt;6),1.5,1),0)</f>
        <v>7</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46102.83333333327</v>
      </c>
      <c r="C30" s="94">
        <f ca="1">OFFSET(TblPop[[#This Row],[Peasants]],-1,0)+OFFSET(TblPop[[#This Row],[Net Peasant]],-1,0)+TblMili[[#This Row],[Release Draft]]</f>
        <v>754</v>
      </c>
      <c r="D30" s="94">
        <f ca="1">TblMili[[#This Row],[Military]]</f>
        <v>304</v>
      </c>
      <c r="E30" s="94">
        <f ca="1">TblMili[[#This Row],[Draftees]]</f>
        <v>304</v>
      </c>
      <c r="F30" s="94">
        <f ca="1">TblPop[[#This Row],[Peasants]]+TblPop[[#This Row],[Military]]</f>
        <v>1058</v>
      </c>
      <c r="G30" s="139">
        <f ca="1">TblPop[[#This Row],[Military]]/TblPop[[#This Row],[Total]]</f>
        <v>0.28733459357277885</v>
      </c>
      <c r="H30" s="140">
        <f ca="1">MIN(TblPop[[#This Row],[Peasants]],TblPop[[#This Row],[Jobs]])</f>
        <v>754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304</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1076</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0" s="94">
        <f ca="1">MAX(-5%*TblPop[[#This Row],[Peasants]]-TblPop[[#This Row],[Draft Growth]],MIN(OFFSET(TblPop[[#This Row],[Net max]],1,0)-TblPop[[#This Row],[Peasants]]-TblPop[[#This Row],[Military]]-TblPop[[#This Row],[Draft Growth]],TblPop[[#This Row],[Modded Birth]]-TblPop[[#This Row],[Draft Growth]]))</f>
        <v>10</v>
      </c>
      <c r="X30" s="94">
        <f ca="1">ROUND(TblPop[[#This Row],[Raw Birth]]*(1+TblPop[[#This Row],[Growth]]),0)</f>
        <v>22</v>
      </c>
      <c r="Y30" s="94">
        <f ca="1">(TblPop[[#This Row],[Peasants]]-TblPop[[#This Row],[Draft Growth]])*raw_pop_growth</f>
        <v>22.38</v>
      </c>
      <c r="Z30" s="94">
        <f ca="1">ROUND(IF(TblPop[[#This Row],[Military%]]&lt;TblMili[[#This Row],[Draftrate]],ROUND(TblPop[[#This Row],[Peasants]]*Constants!$B$55,0), 0) * IF(AND(TblMagic[[#This Row],[Active DnD]]&lt;=12,TblMagic[[#This Row],[Active DnD]]&gt;6),1.5,1),0)</f>
        <v>8</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46102.874999999935</v>
      </c>
      <c r="C31" s="94">
        <f ca="1">OFFSET(TblPop[[#This Row],[Peasants]],-1,0)+OFFSET(TblPop[[#This Row],[Net Peasant]],-1,0)+TblMili[[#This Row],[Release Draft]]</f>
        <v>764</v>
      </c>
      <c r="D31" s="94">
        <f ca="1">TblMili[[#This Row],[Military]]</f>
        <v>312</v>
      </c>
      <c r="E31" s="94">
        <f ca="1">TblMili[[#This Row],[Draftees]]</f>
        <v>312</v>
      </c>
      <c r="F31" s="94">
        <f ca="1">TblPop[[#This Row],[Peasants]]+TblPop[[#This Row],[Military]]</f>
        <v>1076</v>
      </c>
      <c r="G31" s="139">
        <f ca="1">TblPop[[#This Row],[Military]]/TblPop[[#This Row],[Total]]</f>
        <v>0.2899628252788104</v>
      </c>
      <c r="H31" s="140">
        <f ca="1">MIN(TblPop[[#This Row],[Peasants]],TblPop[[#This Row],[Jobs]])</f>
        <v>764</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312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1076</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1" s="94">
        <f ca="1">MAX(-5%*TblPop[[#This Row],[Peasants]]-TblPop[[#This Row],[Draft Growth]],MIN(OFFSET(TblPop[[#This Row],[Net max]],1,0)-TblPop[[#This Row],[Peasants]]-TblPop[[#This Row],[Military]]-TblPop[[#This Row],[Draft Growth]],TblPop[[#This Row],[Modded Birth]]-TblPop[[#This Row],[Draft Growth]]))</f>
        <v>-8</v>
      </c>
      <c r="X31" s="94">
        <f ca="1">ROUND(TblPop[[#This Row],[Raw Birth]]*(1+TblPop[[#This Row],[Growth]]),0)</f>
        <v>23</v>
      </c>
      <c r="Y31" s="94">
        <f ca="1">(TblPop[[#This Row],[Peasants]]-TblPop[[#This Row],[Draft Growth]])*raw_pop_growth</f>
        <v>22.68</v>
      </c>
      <c r="Z31" s="94">
        <f ca="1">ROUND(IF(TblPop[[#This Row],[Military%]]&lt;TblMili[[#This Row],[Draftrate]],ROUND(TblPop[[#This Row],[Peasants]]*Constants!$B$55,0), 0) * IF(AND(TblMagic[[#This Row],[Active DnD]]&lt;=12,TblMagic[[#This Row],[Active DnD]]&gt;6),1.5,1),0)</f>
        <v>8</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46102.916666666599</v>
      </c>
      <c r="C32" s="94">
        <f ca="1">OFFSET(TblPop[[#This Row],[Peasants]],-1,0)+OFFSET(TblPop[[#This Row],[Net Peasant]],-1,0)+TblMili[[#This Row],[Release Draft]]</f>
        <v>756</v>
      </c>
      <c r="D32" s="94">
        <f ca="1">TblMili[[#This Row],[Military]]</f>
        <v>320</v>
      </c>
      <c r="E32" s="94">
        <f ca="1">TblMili[[#This Row],[Draftees]]</f>
        <v>320</v>
      </c>
      <c r="F32" s="94">
        <f ca="1">TblPop[[#This Row],[Peasants]]+TblPop[[#This Row],[Military]]</f>
        <v>1076</v>
      </c>
      <c r="G32" s="139">
        <f ca="1">TblPop[[#This Row],[Military]]/TblPop[[#This Row],[Total]]</f>
        <v>0.29739776951672864</v>
      </c>
      <c r="H32" s="140">
        <f ca="1">MIN(TblPop[[#This Row],[Peasants]],TblPop[[#This Row],[Jobs]])</f>
        <v>756</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320</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1076</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2" s="94">
        <f ca="1">MAX(-5%*TblPop[[#This Row],[Peasants]]-TblPop[[#This Row],[Draft Growth]],MIN(OFFSET(TblPop[[#This Row],[Net max]],1,0)-TblPop[[#This Row],[Peasants]]-TblPop[[#This Row],[Military]]-TblPop[[#This Row],[Draft Growth]],TblPop[[#This Row],[Modded Birth]]-TblPop[[#This Row],[Draft Growth]]))</f>
        <v>-8</v>
      </c>
      <c r="X32" s="94">
        <f ca="1">ROUND(TblPop[[#This Row],[Raw Birth]]*(1+TblPop[[#This Row],[Growth]]),0)</f>
        <v>22</v>
      </c>
      <c r="Y32" s="94">
        <f ca="1">(TblPop[[#This Row],[Peasants]]-TblPop[[#This Row],[Draft Growth]])*raw_pop_growth</f>
        <v>22.439999999999998</v>
      </c>
      <c r="Z32" s="94">
        <f ca="1">ROUND(IF(TblPop[[#This Row],[Military%]]&lt;TblMili[[#This Row],[Draftrate]],ROUND(TblPop[[#This Row],[Peasants]]*Constants!$B$55,0), 0) * IF(AND(TblMagic[[#This Row],[Active DnD]]&lt;=12,TblMagic[[#This Row],[Active DnD]]&gt;6),1.5,1),0)</f>
        <v>8</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46102.958333333263</v>
      </c>
      <c r="C33" s="94">
        <f ca="1">OFFSET(TblPop[[#This Row],[Peasants]],-1,0)+OFFSET(TblPop[[#This Row],[Net Peasant]],-1,0)+TblMili[[#This Row],[Release Draft]]</f>
        <v>748</v>
      </c>
      <c r="D33" s="94">
        <f ca="1">TblMili[[#This Row],[Military]]</f>
        <v>328</v>
      </c>
      <c r="E33" s="94">
        <f ca="1">TblMili[[#This Row],[Draftees]]</f>
        <v>328</v>
      </c>
      <c r="F33" s="94">
        <f ca="1">TblPop[[#This Row],[Peasants]]+TblPop[[#This Row],[Military]]</f>
        <v>1076</v>
      </c>
      <c r="G33" s="139">
        <f ca="1">TblPop[[#This Row],[Military]]/TblPop[[#This Row],[Total]]</f>
        <v>0.30483271375464682</v>
      </c>
      <c r="H33" s="140">
        <f ca="1">MIN(TblPop[[#This Row],[Peasants]],TblPop[[#This Row],[Jobs]])</f>
        <v>748</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328</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1076</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3" s="94">
        <f ca="1">MAX(-5%*TblPop[[#This Row],[Peasants]]-TblPop[[#This Row],[Draft Growth]],MIN(OFFSET(TblPop[[#This Row],[Net max]],1,0)-TblPop[[#This Row],[Peasants]]-TblPop[[#This Row],[Military]]-TblPop[[#This Row],[Draft Growth]],TblPop[[#This Row],[Modded Birth]]-TblPop[[#This Row],[Draft Growth]]))</f>
        <v>-7</v>
      </c>
      <c r="X33" s="94">
        <f ca="1">ROUND(TblPop[[#This Row],[Raw Birth]]*(1+TblPop[[#This Row],[Growth]]),0)</f>
        <v>22</v>
      </c>
      <c r="Y33" s="94">
        <f ca="1">(TblPop[[#This Row],[Peasants]]-TblPop[[#This Row],[Draft Growth]])*raw_pop_growth</f>
        <v>22.23</v>
      </c>
      <c r="Z33" s="94">
        <f ca="1">ROUND(IF(TblPop[[#This Row],[Military%]]&lt;TblMili[[#This Row],[Draftrate]],ROUND(TblPop[[#This Row],[Peasants]]*Constants!$B$55,0), 0) * IF(AND(TblMagic[[#This Row],[Active DnD]]&lt;=12,TblMagic[[#This Row],[Active DnD]]&gt;6),1.5,1),0)</f>
        <v>7</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46102.999999999927</v>
      </c>
      <c r="C34" s="94">
        <f ca="1">OFFSET(TblPop[[#This Row],[Peasants]],-1,0)+OFFSET(TblPop[[#This Row],[Net Peasant]],-1,0)+TblMili[[#This Row],[Release Draft]]</f>
        <v>741</v>
      </c>
      <c r="D34" s="94">
        <f ca="1">TblMili[[#This Row],[Military]]</f>
        <v>335</v>
      </c>
      <c r="E34" s="94">
        <f ca="1">TblMili[[#This Row],[Draftees]]</f>
        <v>335</v>
      </c>
      <c r="F34" s="94">
        <f ca="1">TblPop[[#This Row],[Peasants]]+TblPop[[#This Row],[Military]]</f>
        <v>1076</v>
      </c>
      <c r="G34" s="139">
        <f ca="1">TblPop[[#This Row],[Military]]/TblPop[[#This Row],[Total]]</f>
        <v>0.31133828996282525</v>
      </c>
      <c r="H34" s="140">
        <f ca="1">MIN(TblPop[[#This Row],[Peasants]],TblPop[[#This Row],[Jobs]])</f>
        <v>741</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335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1076</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4" s="94">
        <f ca="1">MAX(-5%*TblPop[[#This Row],[Peasants]]-TblPop[[#This Row],[Draft Growth]],MIN(OFFSET(TblPop[[#This Row],[Net max]],1,0)-TblPop[[#This Row],[Peasants]]-TblPop[[#This Row],[Military]]-TblPop[[#This Row],[Draft Growth]],TblPop[[#This Row],[Modded Birth]]-TblPop[[#This Row],[Draft Growth]]))</f>
        <v>-7</v>
      </c>
      <c r="X34" s="94">
        <f ca="1">ROUND(TblPop[[#This Row],[Raw Birth]]*(1+TblPop[[#This Row],[Growth]]),0)</f>
        <v>22</v>
      </c>
      <c r="Y34" s="94">
        <f ca="1">(TblPop[[#This Row],[Peasants]]-TblPop[[#This Row],[Draft Growth]])*raw_pop_growth</f>
        <v>22.02</v>
      </c>
      <c r="Z34" s="94">
        <f ca="1">ROUND(IF(TblPop[[#This Row],[Military%]]&lt;TblMili[[#This Row],[Draftrate]],ROUND(TblPop[[#This Row],[Peasants]]*Constants!$B$55,0), 0) * IF(AND(TblMagic[[#This Row],[Active DnD]]&lt;=12,TblMagic[[#This Row],[Active DnD]]&gt;6),1.5,1),0)</f>
        <v>7</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46103.041666666591</v>
      </c>
      <c r="C35" s="94">
        <f ca="1">OFFSET(TblPop[[#This Row],[Peasants]],-1,0)+OFFSET(TblPop[[#This Row],[Net Peasant]],-1,0)+TblMili[[#This Row],[Release Draft]]</f>
        <v>734</v>
      </c>
      <c r="D35" s="94">
        <f ca="1">TblMili[[#This Row],[Military]]</f>
        <v>342</v>
      </c>
      <c r="E35" s="94">
        <f ca="1">TblMili[[#This Row],[Draftees]]</f>
        <v>342</v>
      </c>
      <c r="F35" s="94">
        <f ca="1">TblPop[[#This Row],[Peasants]]+TblPop[[#This Row],[Military]]</f>
        <v>1076</v>
      </c>
      <c r="G35" s="139">
        <f ca="1">TblPop[[#This Row],[Military]]/TblPop[[#This Row],[Total]]</f>
        <v>0.31784386617100374</v>
      </c>
      <c r="H35" s="140">
        <f ca="1">MIN(TblPop[[#This Row],[Peasants]],TblPop[[#This Row],[Jobs]])</f>
        <v>734</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342</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1076</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5" s="94">
        <f ca="1">MAX(-5%*TblPop[[#This Row],[Peasants]]-TblPop[[#This Row],[Draft Growth]],MIN(OFFSET(TblPop[[#This Row],[Net max]],1,0)-TblPop[[#This Row],[Peasants]]-TblPop[[#This Row],[Military]]-TblPop[[#This Row],[Draft Growth]],TblPop[[#This Row],[Modded Birth]]-TblPop[[#This Row],[Draft Growth]]))</f>
        <v>-7</v>
      </c>
      <c r="X35" s="94">
        <f ca="1">ROUND(TblPop[[#This Row],[Raw Birth]]*(1+TblPop[[#This Row],[Growth]]),0)</f>
        <v>22</v>
      </c>
      <c r="Y35" s="94">
        <f ca="1">(TblPop[[#This Row],[Peasants]]-TblPop[[#This Row],[Draft Growth]])*raw_pop_growth</f>
        <v>21.81</v>
      </c>
      <c r="Z35" s="94">
        <f ca="1">ROUND(IF(TblPop[[#This Row],[Military%]]&lt;TblMili[[#This Row],[Draftrate]],ROUND(TblPop[[#This Row],[Peasants]]*Constants!$B$55,0), 0) * IF(AND(TblMagic[[#This Row],[Active DnD]]&lt;=12,TblMagic[[#This Row],[Active DnD]]&gt;6),1.5,1),0)</f>
        <v>7</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46103.083333333256</v>
      </c>
      <c r="C36" s="94">
        <f ca="1">OFFSET(TblPop[[#This Row],[Peasants]],-1,0)+OFFSET(TblPop[[#This Row],[Net Peasant]],-1,0)+TblMili[[#This Row],[Release Draft]]</f>
        <v>727</v>
      </c>
      <c r="D36" s="94">
        <f ca="1">TblMili[[#This Row],[Military]]</f>
        <v>349</v>
      </c>
      <c r="E36" s="94">
        <f ca="1">TblMili[[#This Row],[Draftees]]</f>
        <v>349</v>
      </c>
      <c r="F36" s="94">
        <f ca="1">TblPop[[#This Row],[Peasants]]+TblPop[[#This Row],[Military]]</f>
        <v>1076</v>
      </c>
      <c r="G36" s="139">
        <f ca="1">TblPop[[#This Row],[Military]]/TblPop[[#This Row],[Total]]</f>
        <v>0.32434944237918217</v>
      </c>
      <c r="H36" s="140">
        <f ca="1">MIN(TblPop[[#This Row],[Peasants]],TblPop[[#This Row],[Jobs]])</f>
        <v>727</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349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1076</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6" s="94">
        <f ca="1">MAX(-5%*TblPop[[#This Row],[Peasants]]-TblPop[[#This Row],[Draft Growth]],MIN(OFFSET(TblPop[[#This Row],[Net max]],1,0)-TblPop[[#This Row],[Peasants]]-TblPop[[#This Row],[Military]]-TblPop[[#This Row],[Draft Growth]],TblPop[[#This Row],[Modded Birth]]-TblPop[[#This Row],[Draft Growth]]))</f>
        <v>-7</v>
      </c>
      <c r="X36" s="94">
        <f ca="1">ROUND(TblPop[[#This Row],[Raw Birth]]*(1+TblPop[[#This Row],[Growth]]),0)</f>
        <v>22</v>
      </c>
      <c r="Y36" s="94">
        <f ca="1">(TblPop[[#This Row],[Peasants]]-TblPop[[#This Row],[Draft Growth]])*raw_pop_growth</f>
        <v>21.599999999999998</v>
      </c>
      <c r="Z36" s="94">
        <f ca="1">ROUND(IF(TblPop[[#This Row],[Military%]]&lt;TblMili[[#This Row],[Draftrate]],ROUND(TblPop[[#This Row],[Peasants]]*Constants!$B$55,0), 0) * IF(AND(TblMagic[[#This Row],[Active DnD]]&lt;=12,TblMagic[[#This Row],[Active DnD]]&gt;6),1.5,1),0)</f>
        <v>7</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46103.12499999992</v>
      </c>
      <c r="C37" s="94">
        <f ca="1">OFFSET(TblPop[[#This Row],[Peasants]],-1,0)+OFFSET(TblPop[[#This Row],[Net Peasant]],-1,0)+TblMili[[#This Row],[Release Draft]]</f>
        <v>720</v>
      </c>
      <c r="D37" s="94">
        <f ca="1">TblMili[[#This Row],[Military]]</f>
        <v>356</v>
      </c>
      <c r="E37" s="94">
        <f ca="1">TblMili[[#This Row],[Draftees]]</f>
        <v>356</v>
      </c>
      <c r="F37" s="94">
        <f ca="1">TblPop[[#This Row],[Peasants]]+TblPop[[#This Row],[Military]]</f>
        <v>1076</v>
      </c>
      <c r="G37" s="139">
        <f ca="1">TblPop[[#This Row],[Military]]/TblPop[[#This Row],[Total]]</f>
        <v>0.33085501858736061</v>
      </c>
      <c r="H37" s="140">
        <f ca="1">MIN(TblPop[[#This Row],[Peasants]],TblPop[[#This Row],[Jobs]])</f>
        <v>720</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356</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1076</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7" s="94">
        <f ca="1">MAX(-5%*TblPop[[#This Row],[Peasants]]-TblPop[[#This Row],[Draft Growth]],MIN(OFFSET(TblPop[[#This Row],[Net max]],1,0)-TblPop[[#This Row],[Peasants]]-TblPop[[#This Row],[Military]]-TblPop[[#This Row],[Draft Growth]],TblPop[[#This Row],[Modded Birth]]-TblPop[[#This Row],[Draft Growth]]))</f>
        <v>-7</v>
      </c>
      <c r="X37" s="94">
        <f ca="1">ROUND(TblPop[[#This Row],[Raw Birth]]*(1+TblPop[[#This Row],[Growth]]),0)</f>
        <v>21</v>
      </c>
      <c r="Y37" s="94">
        <f ca="1">(TblPop[[#This Row],[Peasants]]-TblPop[[#This Row],[Draft Growth]])*raw_pop_growth</f>
        <v>21.39</v>
      </c>
      <c r="Z37" s="94">
        <f ca="1">ROUND(IF(TblPop[[#This Row],[Military%]]&lt;TblMili[[#This Row],[Draftrate]],ROUND(TblPop[[#This Row],[Peasants]]*Constants!$B$55,0), 0) * IF(AND(TblMagic[[#This Row],[Active DnD]]&lt;=12,TblMagic[[#This Row],[Active DnD]]&gt;6),1.5,1),0)</f>
        <v>7</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46103.166666666584</v>
      </c>
      <c r="C38" s="94">
        <f ca="1">OFFSET(TblPop[[#This Row],[Peasants]],-1,0)+OFFSET(TblPop[[#This Row],[Net Peasant]],-1,0)+TblMili[[#This Row],[Release Draft]]</f>
        <v>713</v>
      </c>
      <c r="D38" s="94">
        <f ca="1">TblMili[[#This Row],[Military]]</f>
        <v>363</v>
      </c>
      <c r="E38" s="94">
        <f ca="1">TblMili[[#This Row],[Draftees]]</f>
        <v>363</v>
      </c>
      <c r="F38" s="94">
        <f ca="1">TblPop[[#This Row],[Peasants]]+TblPop[[#This Row],[Military]]</f>
        <v>1076</v>
      </c>
      <c r="G38" s="139">
        <f ca="1">TblPop[[#This Row],[Military]]/TblPop[[#This Row],[Total]]</f>
        <v>0.33736059479553904</v>
      </c>
      <c r="H38" s="140">
        <f ca="1">MIN(TblPop[[#This Row],[Peasants]],TblPop[[#This Row],[Jobs]])</f>
        <v>713</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363</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1076</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8" s="94">
        <f ca="1">MAX(-5%*TblPop[[#This Row],[Peasants]]-TblPop[[#This Row],[Draft Growth]],MIN(OFFSET(TblPop[[#This Row],[Net max]],1,0)-TblPop[[#This Row],[Peasants]]-TblPop[[#This Row],[Military]]-TblPop[[#This Row],[Draft Growth]],TblPop[[#This Row],[Modded Birth]]-TblPop[[#This Row],[Draft Growth]]))</f>
        <v>-7</v>
      </c>
      <c r="X38" s="94">
        <f ca="1">ROUND(TblPop[[#This Row],[Raw Birth]]*(1+TblPop[[#This Row],[Growth]]),0)</f>
        <v>21</v>
      </c>
      <c r="Y38" s="94">
        <f ca="1">(TblPop[[#This Row],[Peasants]]-TblPop[[#This Row],[Draft Growth]])*raw_pop_growth</f>
        <v>21.18</v>
      </c>
      <c r="Z38" s="94">
        <f ca="1">ROUND(IF(TblPop[[#This Row],[Military%]]&lt;TblMili[[#This Row],[Draftrate]],ROUND(TblPop[[#This Row],[Peasants]]*Constants!$B$55,0), 0) * IF(AND(TblMagic[[#This Row],[Active DnD]]&lt;=12,TblMagic[[#This Row],[Active DnD]]&gt;6),1.5,1),0)</f>
        <v>7</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46103.208333333248</v>
      </c>
      <c r="C39" s="94">
        <f ca="1">OFFSET(TblPop[[#This Row],[Peasants]],-1,0)+OFFSET(TblPop[[#This Row],[Net Peasant]],-1,0)+TblMili[[#This Row],[Release Draft]]</f>
        <v>706</v>
      </c>
      <c r="D39" s="94">
        <f ca="1">TblMili[[#This Row],[Military]]</f>
        <v>370</v>
      </c>
      <c r="E39" s="94">
        <f ca="1">TblMili[[#This Row],[Draftees]]</f>
        <v>370</v>
      </c>
      <c r="F39" s="94">
        <f ca="1">TblPop[[#This Row],[Peasants]]+TblPop[[#This Row],[Military]]</f>
        <v>1076</v>
      </c>
      <c r="G39" s="139">
        <f ca="1">TblPop[[#This Row],[Military]]/TblPop[[#This Row],[Total]]</f>
        <v>0.34386617100371747</v>
      </c>
      <c r="H39" s="140">
        <f ca="1">MIN(TblPop[[#This Row],[Peasants]],TblPop[[#This Row],[Jobs]])</f>
        <v>706</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370</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1076</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9" s="94">
        <f ca="1">MAX(-5%*TblPop[[#This Row],[Peasants]]-TblPop[[#This Row],[Draft Growth]],MIN(OFFSET(TblPop[[#This Row],[Net max]],1,0)-TblPop[[#This Row],[Peasants]]-TblPop[[#This Row],[Military]]-TblPop[[#This Row],[Draft Growth]],TblPop[[#This Row],[Modded Birth]]-TblPop[[#This Row],[Draft Growth]]))</f>
        <v>-7</v>
      </c>
      <c r="X39" s="94">
        <f ca="1">ROUND(TblPop[[#This Row],[Raw Birth]]*(1+TblPop[[#This Row],[Growth]]),0)</f>
        <v>21</v>
      </c>
      <c r="Y39" s="94">
        <f ca="1">(TblPop[[#This Row],[Peasants]]-TblPop[[#This Row],[Draft Growth]])*raw_pop_growth</f>
        <v>20.97</v>
      </c>
      <c r="Z39" s="94">
        <f ca="1">ROUND(IF(TblPop[[#This Row],[Military%]]&lt;TblMili[[#This Row],[Draftrate]],ROUND(TblPop[[#This Row],[Peasants]]*Constants!$B$55,0), 0) * IF(AND(TblMagic[[#This Row],[Active DnD]]&lt;=12,TblMagic[[#This Row],[Active DnD]]&gt;6),1.5,1),0)</f>
        <v>7</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46103.249999999913</v>
      </c>
      <c r="C40" s="94">
        <f ca="1">OFFSET(TblPop[[#This Row],[Peasants]],-1,0)+OFFSET(TblPop[[#This Row],[Net Peasant]],-1,0)+TblMili[[#This Row],[Release Draft]]</f>
        <v>699</v>
      </c>
      <c r="D40" s="94">
        <f ca="1">TblMili[[#This Row],[Military]]</f>
        <v>377</v>
      </c>
      <c r="E40" s="94">
        <f ca="1">TblMili[[#This Row],[Draftees]]</f>
        <v>377</v>
      </c>
      <c r="F40" s="94">
        <f ca="1">TblPop[[#This Row],[Peasants]]+TblPop[[#This Row],[Military]]</f>
        <v>1076</v>
      </c>
      <c r="G40" s="139">
        <f ca="1">TblPop[[#This Row],[Military]]/TblPop[[#This Row],[Total]]</f>
        <v>0.3503717472118959</v>
      </c>
      <c r="H40" s="140">
        <f ca="1">MIN(TblPop[[#This Row],[Peasants]],TblPop[[#This Row],[Jobs]])</f>
        <v>699</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377</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1076</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0" s="94">
        <f ca="1">MAX(-5%*TblPop[[#This Row],[Peasants]]-TblPop[[#This Row],[Draft Growth]],MIN(OFFSET(TblPop[[#This Row],[Net max]],1,0)-TblPop[[#This Row],[Peasants]]-TblPop[[#This Row],[Military]]-TblPop[[#This Row],[Draft Growth]],TblPop[[#This Row],[Modded Birth]]-TblPop[[#This Row],[Draft Growth]]))</f>
        <v>-7</v>
      </c>
      <c r="X40" s="94">
        <f ca="1">ROUND(TblPop[[#This Row],[Raw Birth]]*(1+TblPop[[#This Row],[Growth]]),0)</f>
        <v>21</v>
      </c>
      <c r="Y40" s="94">
        <f ca="1">(TblPop[[#This Row],[Peasants]]-TblPop[[#This Row],[Draft Growth]])*raw_pop_growth</f>
        <v>20.759999999999998</v>
      </c>
      <c r="Z40" s="94">
        <f ca="1">ROUND(IF(TblPop[[#This Row],[Military%]]&lt;TblMili[[#This Row],[Draftrate]],ROUND(TblPop[[#This Row],[Peasants]]*Constants!$B$55,0), 0) * IF(AND(TblMagic[[#This Row],[Active DnD]]&lt;=12,TblMagic[[#This Row],[Active DnD]]&gt;6),1.5,1),0)</f>
        <v>7</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46103.291666666577</v>
      </c>
      <c r="C41" s="94">
        <f ca="1">OFFSET(TblPop[[#This Row],[Peasants]],-1,0)+OFFSET(TblPop[[#This Row],[Net Peasant]],-1,0)+TblMili[[#This Row],[Release Draft]]</f>
        <v>692</v>
      </c>
      <c r="D41" s="94">
        <f ca="1">TblMili[[#This Row],[Military]]</f>
        <v>384</v>
      </c>
      <c r="E41" s="94">
        <f ca="1">TblMili[[#This Row],[Draftees]]</f>
        <v>384</v>
      </c>
      <c r="F41" s="94">
        <f ca="1">TblPop[[#This Row],[Peasants]]+TblPop[[#This Row],[Military]]</f>
        <v>1076</v>
      </c>
      <c r="G41" s="139">
        <f ca="1">TblPop[[#This Row],[Military]]/TblPop[[#This Row],[Total]]</f>
        <v>0.35687732342007433</v>
      </c>
      <c r="H41" s="140">
        <f ca="1">MIN(TblPop[[#This Row],[Peasants]],TblPop[[#This Row],[Jobs]])</f>
        <v>692</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384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1076</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1" s="94">
        <f ca="1">MAX(-5%*TblPop[[#This Row],[Peasants]]-TblPop[[#This Row],[Draft Growth]],MIN(OFFSET(TblPop[[#This Row],[Net max]],1,0)-TblPop[[#This Row],[Peasants]]-TblPop[[#This Row],[Military]]-TblPop[[#This Row],[Draft Growth]],TblPop[[#This Row],[Modded Birth]]-TblPop[[#This Row],[Draft Growth]]))</f>
        <v>-7</v>
      </c>
      <c r="X41" s="94">
        <f ca="1">ROUND(TblPop[[#This Row],[Raw Birth]]*(1+TblPop[[#This Row],[Growth]]),0)</f>
        <v>21</v>
      </c>
      <c r="Y41" s="94">
        <f ca="1">(TblPop[[#This Row],[Peasants]]-TblPop[[#This Row],[Draft Growth]])*raw_pop_growth</f>
        <v>20.55</v>
      </c>
      <c r="Z41" s="94">
        <f ca="1">ROUND(IF(TblPop[[#This Row],[Military%]]&lt;TblMili[[#This Row],[Draftrate]],ROUND(TblPop[[#This Row],[Peasants]]*Constants!$B$55,0), 0) * IF(AND(TblMagic[[#This Row],[Active DnD]]&lt;=12,TblMagic[[#This Row],[Active DnD]]&gt;6),1.5,1),0)</f>
        <v>7</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46103.333333333241</v>
      </c>
      <c r="C42" s="94">
        <f ca="1">OFFSET(TblPop[[#This Row],[Peasants]],-1,0)+OFFSET(TblPop[[#This Row],[Net Peasant]],-1,0)+TblMili[[#This Row],[Release Draft]]</f>
        <v>685</v>
      </c>
      <c r="D42" s="94">
        <f ca="1">TblMili[[#This Row],[Military]]</f>
        <v>391</v>
      </c>
      <c r="E42" s="94">
        <f ca="1">TblMili[[#This Row],[Draftees]]</f>
        <v>391</v>
      </c>
      <c r="F42" s="94">
        <f ca="1">TblPop[[#This Row],[Peasants]]+TblPop[[#This Row],[Military]]</f>
        <v>1076</v>
      </c>
      <c r="G42" s="139">
        <f ca="1">TblPop[[#This Row],[Military]]/TblPop[[#This Row],[Total]]</f>
        <v>0.36338289962825276</v>
      </c>
      <c r="H42" s="140">
        <f ca="1">MIN(TblPop[[#This Row],[Peasants]],TblPop[[#This Row],[Jobs]])</f>
        <v>685</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391</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1076</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2" s="94">
        <f ca="1">MAX(-5%*TblPop[[#This Row],[Peasants]]-TblPop[[#This Row],[Draft Growth]],MIN(OFFSET(TblPop[[#This Row],[Net max]],1,0)-TblPop[[#This Row],[Peasants]]-TblPop[[#This Row],[Military]]-TblPop[[#This Row],[Draft Growth]],TblPop[[#This Row],[Modded Birth]]-TblPop[[#This Row],[Draft Growth]]))</f>
        <v>-7</v>
      </c>
      <c r="X42" s="94">
        <f ca="1">ROUND(TblPop[[#This Row],[Raw Birth]]*(1+TblPop[[#This Row],[Growth]]),0)</f>
        <v>20</v>
      </c>
      <c r="Y42" s="94">
        <f ca="1">(TblPop[[#This Row],[Peasants]]-TblPop[[#This Row],[Draft Growth]])*raw_pop_growth</f>
        <v>20.34</v>
      </c>
      <c r="Z42" s="94">
        <f ca="1">ROUND(IF(TblPop[[#This Row],[Military%]]&lt;TblMili[[#This Row],[Draftrate]],ROUND(TblPop[[#This Row],[Peasants]]*Constants!$B$55,0), 0) * IF(AND(TblMagic[[#This Row],[Active DnD]]&lt;=12,TblMagic[[#This Row],[Active DnD]]&gt;6),1.5,1),0)</f>
        <v>7</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46103.374999999905</v>
      </c>
      <c r="C43" s="94">
        <f ca="1">OFFSET(TblPop[[#This Row],[Peasants]],-1,0)+OFFSET(TblPop[[#This Row],[Net Peasant]],-1,0)+TblMili[[#This Row],[Release Draft]]</f>
        <v>678</v>
      </c>
      <c r="D43" s="94">
        <f ca="1">TblMili[[#This Row],[Military]]</f>
        <v>398</v>
      </c>
      <c r="E43" s="94">
        <f ca="1">TblMili[[#This Row],[Draftees]]</f>
        <v>398</v>
      </c>
      <c r="F43" s="94">
        <f ca="1">TblPop[[#This Row],[Peasants]]+TblPop[[#This Row],[Military]]</f>
        <v>1076</v>
      </c>
      <c r="G43" s="139">
        <f ca="1">TblPop[[#This Row],[Military]]/TblPop[[#This Row],[Total]]</f>
        <v>0.36988847583643125</v>
      </c>
      <c r="H43" s="140">
        <f ca="1">MIN(TblPop[[#This Row],[Peasants]],TblPop[[#This Row],[Jobs]])</f>
        <v>678</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398</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1076</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3" s="94">
        <f ca="1">MAX(-5%*TblPop[[#This Row],[Peasants]]-TblPop[[#This Row],[Draft Growth]],MIN(OFFSET(TblPop[[#This Row],[Net max]],1,0)-TblPop[[#This Row],[Peasants]]-TblPop[[#This Row],[Military]]-TblPop[[#This Row],[Draft Growth]],TblPop[[#This Row],[Modded Birth]]-TblPop[[#This Row],[Draft Growth]]))</f>
        <v>-7</v>
      </c>
      <c r="X43" s="94">
        <f ca="1">ROUND(TblPop[[#This Row],[Raw Birth]]*(1+TblPop[[#This Row],[Growth]]),0)</f>
        <v>20</v>
      </c>
      <c r="Y43" s="94">
        <f ca="1">(TblPop[[#This Row],[Peasants]]-TblPop[[#This Row],[Draft Growth]])*raw_pop_growth</f>
        <v>20.13</v>
      </c>
      <c r="Z43" s="94">
        <f ca="1">ROUND(IF(TblPop[[#This Row],[Military%]]&lt;TblMili[[#This Row],[Draftrate]],ROUND(TblPop[[#This Row],[Peasants]]*Constants!$B$55,0), 0) * IF(AND(TblMagic[[#This Row],[Active DnD]]&lt;=12,TblMagic[[#This Row],[Active DnD]]&gt;6),1.5,1),0)</f>
        <v>7</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46103.41666666657</v>
      </c>
      <c r="C44" s="94">
        <f ca="1">OFFSET(TblPop[[#This Row],[Peasants]],-1,0)+OFFSET(TblPop[[#This Row],[Net Peasant]],-1,0)+TblMili[[#This Row],[Release Draft]]</f>
        <v>671</v>
      </c>
      <c r="D44" s="94">
        <f ca="1">TblMili[[#This Row],[Military]]</f>
        <v>405</v>
      </c>
      <c r="E44" s="94">
        <f ca="1">TblMili[[#This Row],[Draftees]]</f>
        <v>405</v>
      </c>
      <c r="F44" s="94">
        <f ca="1">TblPop[[#This Row],[Peasants]]+TblPop[[#This Row],[Military]]</f>
        <v>1076</v>
      </c>
      <c r="G44" s="139">
        <f ca="1">TblPop[[#This Row],[Military]]/TblPop[[#This Row],[Total]]</f>
        <v>0.37639405204460968</v>
      </c>
      <c r="H44" s="140">
        <f ca="1">MIN(TblPop[[#This Row],[Peasants]],TblPop[[#This Row],[Jobs]])</f>
        <v>671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405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1076</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4" s="94">
        <f ca="1">MAX(-5%*TblPop[[#This Row],[Peasants]]-TblPop[[#This Row],[Draft Growth]],MIN(OFFSET(TblPop[[#This Row],[Net max]],1,0)-TblPop[[#This Row],[Peasants]]-TblPop[[#This Row],[Military]]-TblPop[[#This Row],[Draft Growth]],TblPop[[#This Row],[Modded Birth]]-TblPop[[#This Row],[Draft Growth]]))</f>
        <v>-7</v>
      </c>
      <c r="X44" s="94">
        <f ca="1">ROUND(TblPop[[#This Row],[Raw Birth]]*(1+TblPop[[#This Row],[Growth]]),0)</f>
        <v>20</v>
      </c>
      <c r="Y44" s="94">
        <f ca="1">(TblPop[[#This Row],[Peasants]]-TblPop[[#This Row],[Draft Growth]])*raw_pop_growth</f>
        <v>19.919999999999998</v>
      </c>
      <c r="Z44" s="94">
        <f ca="1">ROUND(IF(TblPop[[#This Row],[Military%]]&lt;TblMili[[#This Row],[Draftrate]],ROUND(TblPop[[#This Row],[Peasants]]*Constants!$B$55,0), 0) * IF(AND(TblMagic[[#This Row],[Active DnD]]&lt;=12,TblMagic[[#This Row],[Active DnD]]&gt;6),1.5,1),0)</f>
        <v>7</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46103.458333333234</v>
      </c>
      <c r="C45" s="94">
        <f ca="1">OFFSET(TblPop[[#This Row],[Peasants]],-1,0)+OFFSET(TblPop[[#This Row],[Net Peasant]],-1,0)+TblMili[[#This Row],[Release Draft]]</f>
        <v>664</v>
      </c>
      <c r="D45" s="94">
        <f ca="1">TblMili[[#This Row],[Military]]</f>
        <v>412</v>
      </c>
      <c r="E45" s="94">
        <f ca="1">TblMili[[#This Row],[Draftees]]</f>
        <v>412</v>
      </c>
      <c r="F45" s="94">
        <f ca="1">TblPop[[#This Row],[Peasants]]+TblPop[[#This Row],[Military]]</f>
        <v>1076</v>
      </c>
      <c r="G45" s="139">
        <f ca="1">TblPop[[#This Row],[Military]]/TblPop[[#This Row],[Total]]</f>
        <v>0.38289962825278812</v>
      </c>
      <c r="H45" s="140">
        <f ca="1">MIN(TblPop[[#This Row],[Peasants]],TblPop[[#This Row],[Jobs]])</f>
        <v>664</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412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1076</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5" s="94">
        <f ca="1">MAX(-5%*TblPop[[#This Row],[Peasants]]-TblPop[[#This Row],[Draft Growth]],MIN(OFFSET(TblPop[[#This Row],[Net max]],1,0)-TblPop[[#This Row],[Peasants]]-TblPop[[#This Row],[Military]]-TblPop[[#This Row],[Draft Growth]],TblPop[[#This Row],[Modded Birth]]-TblPop[[#This Row],[Draft Growth]]))</f>
        <v>-7</v>
      </c>
      <c r="X45" s="94">
        <f ca="1">ROUND(TblPop[[#This Row],[Raw Birth]]*(1+TblPop[[#This Row],[Growth]]),0)</f>
        <v>20</v>
      </c>
      <c r="Y45" s="94">
        <f ca="1">(TblPop[[#This Row],[Peasants]]-TblPop[[#This Row],[Draft Growth]])*raw_pop_growth</f>
        <v>19.71</v>
      </c>
      <c r="Z45" s="94">
        <f ca="1">ROUND(IF(TblPop[[#This Row],[Military%]]&lt;TblMili[[#This Row],[Draftrate]],ROUND(TblPop[[#This Row],[Peasants]]*Constants!$B$55,0), 0) * IF(AND(TblMagic[[#This Row],[Active DnD]]&lt;=12,TblMagic[[#This Row],[Active DnD]]&gt;6),1.5,1),0)</f>
        <v>7</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46103.499999999898</v>
      </c>
      <c r="C46" s="94">
        <f ca="1">OFFSET(TblPop[[#This Row],[Peasants]],-1,0)+OFFSET(TblPop[[#This Row],[Net Peasant]],-1,0)+TblMili[[#This Row],[Release Draft]]</f>
        <v>657</v>
      </c>
      <c r="D46" s="94">
        <f ca="1">TblMili[[#This Row],[Military]]</f>
        <v>419</v>
      </c>
      <c r="E46" s="94">
        <f ca="1">TblMili[[#This Row],[Draftees]]</f>
        <v>419</v>
      </c>
      <c r="F46" s="94">
        <f ca="1">TblPop[[#This Row],[Peasants]]+TblPop[[#This Row],[Military]]</f>
        <v>1076</v>
      </c>
      <c r="G46" s="139">
        <f ca="1">TblPop[[#This Row],[Military]]/TblPop[[#This Row],[Total]]</f>
        <v>0.38940520446096655</v>
      </c>
      <c r="H46" s="140">
        <f ca="1">MIN(TblPop[[#This Row],[Peasants]],TblPop[[#This Row],[Jobs]])</f>
        <v>657</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419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1076</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6" s="94">
        <f ca="1">MAX(-5%*TblPop[[#This Row],[Peasants]]-TblPop[[#This Row],[Draft Growth]],MIN(OFFSET(TblPop[[#This Row],[Net max]],1,0)-TblPop[[#This Row],[Peasants]]-TblPop[[#This Row],[Military]]-TblPop[[#This Row],[Draft Growth]],TblPop[[#This Row],[Modded Birth]]-TblPop[[#This Row],[Draft Growth]]))</f>
        <v>-7</v>
      </c>
      <c r="X46" s="94">
        <f ca="1">ROUND(TblPop[[#This Row],[Raw Birth]]*(1+TblPop[[#This Row],[Growth]]),0)</f>
        <v>20</v>
      </c>
      <c r="Y46" s="94">
        <f ca="1">(TblPop[[#This Row],[Peasants]]-TblPop[[#This Row],[Draft Growth]])*raw_pop_growth</f>
        <v>19.5</v>
      </c>
      <c r="Z46" s="94">
        <f ca="1">ROUND(IF(TblPop[[#This Row],[Military%]]&lt;TblMili[[#This Row],[Draftrate]],ROUND(TblPop[[#This Row],[Peasants]]*Constants!$B$55,0), 0) * IF(AND(TblMagic[[#This Row],[Active DnD]]&lt;=12,TblMagic[[#This Row],[Active DnD]]&gt;6),1.5,1),0)</f>
        <v>7</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46103.541666666562</v>
      </c>
      <c r="C47" s="94">
        <f ca="1">OFFSET(TblPop[[#This Row],[Peasants]],-1,0)+OFFSET(TblPop[[#This Row],[Net Peasant]],-1,0)+TblMili[[#This Row],[Release Draft]]</f>
        <v>650</v>
      </c>
      <c r="D47" s="94">
        <f ca="1">TblMili[[#This Row],[Military]]</f>
        <v>426</v>
      </c>
      <c r="E47" s="94">
        <f ca="1">TblMili[[#This Row],[Draftees]]</f>
        <v>426</v>
      </c>
      <c r="F47" s="94">
        <f ca="1">TblPop[[#This Row],[Peasants]]+TblPop[[#This Row],[Military]]</f>
        <v>1076</v>
      </c>
      <c r="G47" s="139">
        <f ca="1">TblPop[[#This Row],[Military]]/TblPop[[#This Row],[Total]]</f>
        <v>0.39591078066914498</v>
      </c>
      <c r="H47" s="140">
        <f ca="1">MIN(TblPop[[#This Row],[Peasants]],TblPop[[#This Row],[Jobs]])</f>
        <v>650</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426</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1076</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7" s="94">
        <f ca="1">MAX(-5%*TblPop[[#This Row],[Peasants]]-TblPop[[#This Row],[Draft Growth]],MIN(OFFSET(TblPop[[#This Row],[Net max]],1,0)-TblPop[[#This Row],[Peasants]]-TblPop[[#This Row],[Military]]-TblPop[[#This Row],[Draft Growth]],TblPop[[#This Row],[Modded Birth]]-TblPop[[#This Row],[Draft Growth]]))</f>
        <v>-7</v>
      </c>
      <c r="X47" s="94">
        <f ca="1">ROUND(TblPop[[#This Row],[Raw Birth]]*(1+TblPop[[#This Row],[Growth]]),0)</f>
        <v>19</v>
      </c>
      <c r="Y47" s="94">
        <f ca="1">(TblPop[[#This Row],[Peasants]]-TblPop[[#This Row],[Draft Growth]])*raw_pop_growth</f>
        <v>19.29</v>
      </c>
      <c r="Z47" s="94">
        <f ca="1">ROUND(IF(TblPop[[#This Row],[Military%]]&lt;TblMili[[#This Row],[Draftrate]],ROUND(TblPop[[#This Row],[Peasants]]*Constants!$B$55,0), 0) * IF(AND(TblMagic[[#This Row],[Active DnD]]&lt;=12,TblMagic[[#This Row],[Active DnD]]&gt;6),1.5,1),0)</f>
        <v>7</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46103.583333333227</v>
      </c>
      <c r="C48" s="94">
        <f ca="1">OFFSET(TblPop[[#This Row],[Peasants]],-1,0)+OFFSET(TblPop[[#This Row],[Net Peasant]],-1,0)+TblMili[[#This Row],[Release Draft]]</f>
        <v>643</v>
      </c>
      <c r="D48" s="94">
        <f ca="1">TblMili[[#This Row],[Military]]</f>
        <v>433</v>
      </c>
      <c r="E48" s="94">
        <f ca="1">TblMili[[#This Row],[Draftees]]</f>
        <v>433</v>
      </c>
      <c r="F48" s="94">
        <f ca="1">TblPop[[#This Row],[Peasants]]+TblPop[[#This Row],[Military]]</f>
        <v>1076</v>
      </c>
      <c r="G48" s="139">
        <f ca="1">TblPop[[#This Row],[Military]]/TblPop[[#This Row],[Total]]</f>
        <v>0.40241635687732341</v>
      </c>
      <c r="H48" s="140">
        <f ca="1">MIN(TblPop[[#This Row],[Peasants]],TblPop[[#This Row],[Jobs]])</f>
        <v>643</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433</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1076</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8" s="94">
        <f ca="1">MAX(-5%*TblPop[[#This Row],[Peasants]]-TblPop[[#This Row],[Draft Growth]],MIN(OFFSET(TblPop[[#This Row],[Net max]],1,0)-TblPop[[#This Row],[Peasants]]-TblPop[[#This Row],[Military]]-TblPop[[#This Row],[Draft Growth]],TblPop[[#This Row],[Modded Birth]]-TblPop[[#This Row],[Draft Growth]]))</f>
        <v>-6</v>
      </c>
      <c r="X48" s="94">
        <f ca="1">ROUND(TblPop[[#This Row],[Raw Birth]]*(1+TblPop[[#This Row],[Growth]]),0)</f>
        <v>19</v>
      </c>
      <c r="Y48" s="94">
        <f ca="1">(TblPop[[#This Row],[Peasants]]-TblPop[[#This Row],[Draft Growth]])*raw_pop_growth</f>
        <v>19.11</v>
      </c>
      <c r="Z48" s="94">
        <f ca="1">ROUND(IF(TblPop[[#This Row],[Military%]]&lt;TblMili[[#This Row],[Draftrate]],ROUND(TblPop[[#This Row],[Peasants]]*Constants!$B$55,0), 0) * IF(AND(TblMagic[[#This Row],[Active DnD]]&lt;=12,TblMagic[[#This Row],[Active DnD]]&gt;6),1.5,1),0)</f>
        <v>6</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46103.624999999891</v>
      </c>
      <c r="C49" s="94">
        <f ca="1">OFFSET(TblPop[[#This Row],[Peasants]],-1,0)+OFFSET(TblPop[[#This Row],[Net Peasant]],-1,0)+TblMili[[#This Row],[Release Draft]]</f>
        <v>637</v>
      </c>
      <c r="D49" s="94">
        <f ca="1">TblMili[[#This Row],[Military]]</f>
        <v>439</v>
      </c>
      <c r="E49" s="94">
        <f ca="1">TblMili[[#This Row],[Draftees]]</f>
        <v>439</v>
      </c>
      <c r="F49" s="94">
        <f ca="1">TblPop[[#This Row],[Peasants]]+TblPop[[#This Row],[Military]]</f>
        <v>1076</v>
      </c>
      <c r="G49" s="139">
        <f ca="1">TblPop[[#This Row],[Military]]/TblPop[[#This Row],[Total]]</f>
        <v>0.40799256505576209</v>
      </c>
      <c r="H49" s="140">
        <f ca="1">MIN(TblPop[[#This Row],[Peasants]],TblPop[[#This Row],[Jobs]])</f>
        <v>637</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439</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1076</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9" s="94">
        <f ca="1">MAX(-5%*TblPop[[#This Row],[Peasants]]-TblPop[[#This Row],[Draft Growth]],MIN(OFFSET(TblPop[[#This Row],[Net max]],1,0)-TblPop[[#This Row],[Peasants]]-TblPop[[#This Row],[Military]]-TblPop[[#This Row],[Draft Growth]],TblPop[[#This Row],[Modded Birth]]-TblPop[[#This Row],[Draft Growth]]))</f>
        <v>-6</v>
      </c>
      <c r="X49" s="94">
        <f ca="1">ROUND(TblPop[[#This Row],[Raw Birth]]*(1+TblPop[[#This Row],[Growth]]),0)</f>
        <v>19</v>
      </c>
      <c r="Y49" s="94">
        <f ca="1">(TblPop[[#This Row],[Peasants]]-TblPop[[#This Row],[Draft Growth]])*raw_pop_growth</f>
        <v>18.93</v>
      </c>
      <c r="Z49" s="94">
        <f ca="1">ROUND(IF(TblPop[[#This Row],[Military%]]&lt;TblMili[[#This Row],[Draftrate]],ROUND(TblPop[[#This Row],[Peasants]]*Constants!$B$55,0), 0) * IF(AND(TblMagic[[#This Row],[Active DnD]]&lt;=12,TblMagic[[#This Row],[Active DnD]]&gt;6),1.5,1),0)</f>
        <v>6</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46103.666666666555</v>
      </c>
      <c r="C50" s="94">
        <f ca="1">OFFSET(TblPop[[#This Row],[Peasants]],-1,0)+OFFSET(TblPop[[#This Row],[Net Peasant]],-1,0)+TblMili[[#This Row],[Release Draft]]</f>
        <v>631</v>
      </c>
      <c r="D50" s="94">
        <f ca="1">TblMili[[#This Row],[Military]]</f>
        <v>445</v>
      </c>
      <c r="E50" s="94">
        <f ca="1">TblMili[[#This Row],[Draftees]]</f>
        <v>445</v>
      </c>
      <c r="F50" s="94">
        <f ca="1">TblPop[[#This Row],[Peasants]]+TblPop[[#This Row],[Military]]</f>
        <v>1076</v>
      </c>
      <c r="G50" s="139">
        <f ca="1">TblPop[[#This Row],[Military]]/TblPop[[#This Row],[Total]]</f>
        <v>0.41356877323420077</v>
      </c>
      <c r="H50" s="140">
        <f ca="1">MIN(TblPop[[#This Row],[Peasants]],TblPop[[#This Row],[Jobs]])</f>
        <v>631</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445</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1076</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0" s="94">
        <f ca="1">MAX(-5%*TblPop[[#This Row],[Peasants]]-TblPop[[#This Row],[Draft Growth]],MIN(OFFSET(TblPop[[#This Row],[Net max]],1,0)-TblPop[[#This Row],[Peasants]]-TblPop[[#This Row],[Military]]-TblPop[[#This Row],[Draft Growth]],TblPop[[#This Row],[Modded Birth]]-TblPop[[#This Row],[Draft Growth]]))</f>
        <v>-6</v>
      </c>
      <c r="X50" s="94">
        <f ca="1">ROUND(TblPop[[#This Row],[Raw Birth]]*(1+TblPop[[#This Row],[Growth]]),0)</f>
        <v>19</v>
      </c>
      <c r="Y50" s="94">
        <f ca="1">(TblPop[[#This Row],[Peasants]]-TblPop[[#This Row],[Draft Growth]])*raw_pop_growth</f>
        <v>18.75</v>
      </c>
      <c r="Z50" s="94">
        <f ca="1">ROUND(IF(TblPop[[#This Row],[Military%]]&lt;TblMili[[#This Row],[Draftrate]],ROUND(TblPop[[#This Row],[Peasants]]*Constants!$B$55,0), 0) * IF(AND(TblMagic[[#This Row],[Active DnD]]&lt;=12,TblMagic[[#This Row],[Active DnD]]&gt;6),1.5,1),0)</f>
        <v>6</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46103.708333333219</v>
      </c>
      <c r="C51" s="94">
        <f ca="1">OFFSET(TblPop[[#This Row],[Peasants]],-1,0)+OFFSET(TblPop[[#This Row],[Net Peasant]],-1,0)+TblMili[[#This Row],[Release Draft]]</f>
        <v>625</v>
      </c>
      <c r="D51" s="94">
        <f ca="1">TblMili[[#This Row],[Military]]</f>
        <v>451</v>
      </c>
      <c r="E51" s="94">
        <f ca="1">TblMili[[#This Row],[Draftees]]</f>
        <v>451</v>
      </c>
      <c r="F51" s="94">
        <f ca="1">TblPop[[#This Row],[Peasants]]+TblPop[[#This Row],[Military]]</f>
        <v>1076</v>
      </c>
      <c r="G51" s="139">
        <f ca="1">TblPop[[#This Row],[Military]]/TblPop[[#This Row],[Total]]</f>
        <v>0.41914498141263939</v>
      </c>
      <c r="H51" s="140">
        <f ca="1">MIN(TblPop[[#This Row],[Peasants]],TblPop[[#This Row],[Jobs]])</f>
        <v>625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451</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1076</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1" s="94">
        <f ca="1">MAX(-5%*TblPop[[#This Row],[Peasants]]-TblPop[[#This Row],[Draft Growth]],MIN(OFFSET(TblPop[[#This Row],[Net max]],1,0)-TblPop[[#This Row],[Peasants]]-TblPop[[#This Row],[Military]]-TblPop[[#This Row],[Draft Growth]],TblPop[[#This Row],[Modded Birth]]-TblPop[[#This Row],[Draft Growth]]))</f>
        <v>-6</v>
      </c>
      <c r="X51" s="94">
        <f ca="1">ROUND(TblPop[[#This Row],[Raw Birth]]*(1+TblPop[[#This Row],[Growth]]),0)</f>
        <v>19</v>
      </c>
      <c r="Y51" s="94">
        <f ca="1">(TblPop[[#This Row],[Peasants]]-TblPop[[#This Row],[Draft Growth]])*raw_pop_growth</f>
        <v>18.57</v>
      </c>
      <c r="Z51" s="94">
        <f ca="1">ROUND(IF(TblPop[[#This Row],[Military%]]&lt;TblMili[[#This Row],[Draftrate]],ROUND(TblPop[[#This Row],[Peasants]]*Constants!$B$55,0), 0) * IF(AND(TblMagic[[#This Row],[Active DnD]]&lt;=12,TblMagic[[#This Row],[Active DnD]]&gt;6),1.5,1),0)</f>
        <v>6</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46103.749999999884</v>
      </c>
      <c r="C52" s="35">
        <f ca="1">OFFSET(TblPop[[#This Row],[Peasants]],-1,0)+OFFSET(TblPop[[#This Row],[Net Peasant]],-1,0)+TblMili[[#This Row],[Release Draft]]</f>
        <v>619</v>
      </c>
      <c r="D52" s="35">
        <f ca="1">TblMili[[#This Row],[Military]]</f>
        <v>457</v>
      </c>
      <c r="E52" s="35">
        <f ca="1">TblMili[[#This Row],[Draftees]]</f>
        <v>457</v>
      </c>
      <c r="F52" s="35">
        <f ca="1">TblPop[[#This Row],[Peasants]]+TblPop[[#This Row],[Military]]</f>
        <v>1076</v>
      </c>
      <c r="G52" s="146">
        <f ca="1">TblPop[[#This Row],[Military]]/TblPop[[#This Row],[Total]]</f>
        <v>0.42472118959107807</v>
      </c>
      <c r="H52" s="147">
        <f ca="1">MIN(TblPop[[#This Row],[Peasants]],TblPop[[#This Row],[Jobs]])</f>
        <v>619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457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1076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2" s="35">
        <f ca="1">MAX(-5%*TblPop[[#This Row],[Peasants]]-TblPop[[#This Row],[Draft Growth]],MIN(OFFSET(TblPop[[#This Row],[Net max]],1,0)-TblPop[[#This Row],[Peasants]]-TblPop[[#This Row],[Military]]-TblPop[[#This Row],[Draft Growth]],TblPop[[#This Row],[Modded Birth]]-TblPop[[#This Row],[Draft Growth]]))</f>
        <v>-6</v>
      </c>
      <c r="X52" s="35">
        <f ca="1">ROUND(TblPop[[#This Row],[Raw Birth]]*(1+TblPop[[#This Row],[Growth]]),0)</f>
        <v>18</v>
      </c>
      <c r="Y52" s="35">
        <f ca="1">(TblPop[[#This Row],[Peasants]]-TblPop[[#This Row],[Draft Growth]])*raw_pop_growth</f>
        <v>18.39</v>
      </c>
      <c r="Z52" s="35">
        <f ca="1">ROUND(IF(TblPop[[#This Row],[Military%]]&lt;TblMili[[#This Row],[Draftrate]],ROUND(TblPop[[#This Row],[Peasants]]*Constants!$B$55,0), 0) * IF(AND(TblMagic[[#This Row],[Active DnD]]&lt;=12,TblMagic[[#This Row],[Active DnD]]&gt;6),1.5,1),0)</f>
        <v>6</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46103.791666666548</v>
      </c>
      <c r="C53" s="94">
        <f ca="1">OFFSET(TblPop[[#This Row],[Peasants]],-1,0)+OFFSET(TblPop[[#This Row],[Net Peasant]],-1,0)+TblMili[[#This Row],[Release Draft]]</f>
        <v>613</v>
      </c>
      <c r="D53" s="94">
        <f ca="1">TblMili[[#This Row],[Military]]</f>
        <v>463</v>
      </c>
      <c r="E53" s="94">
        <f ca="1">TblMili[[#This Row],[Draftees]]</f>
        <v>463</v>
      </c>
      <c r="F53" s="94">
        <f ca="1">TblPop[[#This Row],[Peasants]]+TblPop[[#This Row],[Military]]</f>
        <v>1076</v>
      </c>
      <c r="G53" s="139">
        <f ca="1">TblPop[[#This Row],[Military]]/TblPop[[#This Row],[Total]]</f>
        <v>0.43029739776951675</v>
      </c>
      <c r="H53" s="140">
        <f ca="1">MIN(TblPop[[#This Row],[Peasants]],TblPop[[#This Row],[Jobs]])</f>
        <v>613</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463</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1076</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3" s="94">
        <f ca="1">MAX(-5%*TblPop[[#This Row],[Peasants]]-TblPop[[#This Row],[Draft Growth]],MIN(OFFSET(TblPop[[#This Row],[Net max]],1,0)-TblPop[[#This Row],[Peasants]]-TblPop[[#This Row],[Military]]-TblPop[[#This Row],[Draft Growth]],TblPop[[#This Row],[Modded Birth]]-TblPop[[#This Row],[Draft Growth]]))</f>
        <v>-6</v>
      </c>
      <c r="X53" s="94">
        <f ca="1">ROUND(TblPop[[#This Row],[Raw Birth]]*(1+TblPop[[#This Row],[Growth]]),0)</f>
        <v>18</v>
      </c>
      <c r="Y53" s="94">
        <f ca="1">(TblPop[[#This Row],[Peasants]]-TblPop[[#This Row],[Draft Growth]])*raw_pop_growth</f>
        <v>18.21</v>
      </c>
      <c r="Z53" s="94">
        <f ca="1">ROUND(IF(TblPop[[#This Row],[Military%]]&lt;TblMili[[#This Row],[Draftrate]],ROUND(TblPop[[#This Row],[Peasants]]*Constants!$B$55,0), 0) * IF(AND(TblMagic[[#This Row],[Active DnD]]&lt;=12,TblMagic[[#This Row],[Active DnD]]&gt;6),1.5,1),0)</f>
        <v>6</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46103.833333333212</v>
      </c>
      <c r="C54" s="94">
        <f ca="1">OFFSET(TblPop[[#This Row],[Peasants]],-1,0)+OFFSET(TblPop[[#This Row],[Net Peasant]],-1,0)+TblMili[[#This Row],[Release Draft]]</f>
        <v>607</v>
      </c>
      <c r="D54" s="94">
        <f ca="1">TblMili[[#This Row],[Military]]</f>
        <v>469</v>
      </c>
      <c r="E54" s="94">
        <f ca="1">TblMili[[#This Row],[Draftees]]</f>
        <v>469</v>
      </c>
      <c r="F54" s="94">
        <f ca="1">TblPop[[#This Row],[Peasants]]+TblPop[[#This Row],[Military]]</f>
        <v>1076</v>
      </c>
      <c r="G54" s="139">
        <f ca="1">TblPop[[#This Row],[Military]]/TblPop[[#This Row],[Total]]</f>
        <v>0.43587360594795538</v>
      </c>
      <c r="H54" s="140">
        <f ca="1">MIN(TblPop[[#This Row],[Peasants]],TblPop[[#This Row],[Jobs]])</f>
        <v>607</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469</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1076</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4" s="94">
        <f ca="1">MAX(-5%*TblPop[[#This Row],[Peasants]]-TblPop[[#This Row],[Draft Growth]],MIN(OFFSET(TblPop[[#This Row],[Net max]],1,0)-TblPop[[#This Row],[Peasants]]-TblPop[[#This Row],[Military]]-TblPop[[#This Row],[Draft Growth]],TblPop[[#This Row],[Modded Birth]]-TblPop[[#This Row],[Draft Growth]]))</f>
        <v>-6</v>
      </c>
      <c r="X54" s="94">
        <f ca="1">ROUND(TblPop[[#This Row],[Raw Birth]]*(1+TblPop[[#This Row],[Growth]]),0)</f>
        <v>18</v>
      </c>
      <c r="Y54" s="94">
        <f ca="1">(TblPop[[#This Row],[Peasants]]-TblPop[[#This Row],[Draft Growth]])*raw_pop_growth</f>
        <v>18.029999999999998</v>
      </c>
      <c r="Z54" s="94">
        <f ca="1">ROUND(IF(TblPop[[#This Row],[Military%]]&lt;TblMili[[#This Row],[Draftrate]],ROUND(TblPop[[#This Row],[Peasants]]*Constants!$B$55,0), 0) * IF(AND(TblMagic[[#This Row],[Active DnD]]&lt;=12,TblMagic[[#This Row],[Active DnD]]&gt;6),1.5,1),0)</f>
        <v>6</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46103.874999999876</v>
      </c>
      <c r="C55" s="94">
        <f ca="1">OFFSET(TblPop[[#This Row],[Peasants]],-1,0)+OFFSET(TblPop[[#This Row],[Net Peasant]],-1,0)+TblMili[[#This Row],[Release Draft]]</f>
        <v>601</v>
      </c>
      <c r="D55" s="94">
        <f ca="1">TblMili[[#This Row],[Military]]</f>
        <v>475</v>
      </c>
      <c r="E55" s="94">
        <f ca="1">TblMili[[#This Row],[Draftees]]</f>
        <v>475</v>
      </c>
      <c r="F55" s="94">
        <f ca="1">TblPop[[#This Row],[Peasants]]+TblPop[[#This Row],[Military]]</f>
        <v>1076</v>
      </c>
      <c r="G55" s="139">
        <f ca="1">TblPop[[#This Row],[Military]]/TblPop[[#This Row],[Total]]</f>
        <v>0.44144981412639406</v>
      </c>
      <c r="H55" s="140">
        <f ca="1">MIN(TblPop[[#This Row],[Peasants]],TblPop[[#This Row],[Jobs]])</f>
        <v>601</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475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1076</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5" s="94">
        <f ca="1">MAX(-5%*TblPop[[#This Row],[Peasants]]-TblPop[[#This Row],[Draft Growth]],MIN(OFFSET(TblPop[[#This Row],[Net max]],1,0)-TblPop[[#This Row],[Peasants]]-TblPop[[#This Row],[Military]]-TblPop[[#This Row],[Draft Growth]],TblPop[[#This Row],[Modded Birth]]-TblPop[[#This Row],[Draft Growth]]))</f>
        <v>-6</v>
      </c>
      <c r="X55" s="94">
        <f ca="1">ROUND(TblPop[[#This Row],[Raw Birth]]*(1+TblPop[[#This Row],[Growth]]),0)</f>
        <v>18</v>
      </c>
      <c r="Y55" s="94">
        <f ca="1">(TblPop[[#This Row],[Peasants]]-TblPop[[#This Row],[Draft Growth]])*raw_pop_growth</f>
        <v>17.849999999999998</v>
      </c>
      <c r="Z55" s="94">
        <f ca="1">ROUND(IF(TblPop[[#This Row],[Military%]]&lt;TblMili[[#This Row],[Draftrate]],ROUND(TblPop[[#This Row],[Peasants]]*Constants!$B$55,0), 0) * IF(AND(TblMagic[[#This Row],[Active DnD]]&lt;=12,TblMagic[[#This Row],[Active DnD]]&gt;6),1.5,1),0)</f>
        <v>6</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46103.916666666541</v>
      </c>
      <c r="C56" s="94">
        <f ca="1">OFFSET(TblPop[[#This Row],[Peasants]],-1,0)+OFFSET(TblPop[[#This Row],[Net Peasant]],-1,0)+TblMili[[#This Row],[Release Draft]]</f>
        <v>595</v>
      </c>
      <c r="D56" s="94">
        <f ca="1">TblMili[[#This Row],[Military]]</f>
        <v>481</v>
      </c>
      <c r="E56" s="94">
        <f ca="1">TblMili[[#This Row],[Draftees]]</f>
        <v>481</v>
      </c>
      <c r="F56" s="94">
        <f ca="1">TblPop[[#This Row],[Peasants]]+TblPop[[#This Row],[Military]]</f>
        <v>1076</v>
      </c>
      <c r="G56" s="139">
        <f ca="1">TblPop[[#This Row],[Military]]/TblPop[[#This Row],[Total]]</f>
        <v>0.44702602230483274</v>
      </c>
      <c r="H56" s="140">
        <f ca="1">MIN(TblPop[[#This Row],[Peasants]],TblPop[[#This Row],[Jobs]])</f>
        <v>595</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481</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1076</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6" s="94">
        <f ca="1">MAX(-5%*TblPop[[#This Row],[Peasants]]-TblPop[[#This Row],[Draft Growth]],MIN(OFFSET(TblPop[[#This Row],[Net max]],1,0)-TblPop[[#This Row],[Peasants]]-TblPop[[#This Row],[Military]]-TblPop[[#This Row],[Draft Growth]],TblPop[[#This Row],[Modded Birth]]-TblPop[[#This Row],[Draft Growth]]))</f>
        <v>-6</v>
      </c>
      <c r="X56" s="94">
        <f ca="1">ROUND(TblPop[[#This Row],[Raw Birth]]*(1+TblPop[[#This Row],[Growth]]),0)</f>
        <v>18</v>
      </c>
      <c r="Y56" s="94">
        <f ca="1">(TblPop[[#This Row],[Peasants]]-TblPop[[#This Row],[Draft Growth]])*raw_pop_growth</f>
        <v>17.669999999999998</v>
      </c>
      <c r="Z56" s="94">
        <f ca="1">ROUND(IF(TblPop[[#This Row],[Military%]]&lt;TblMili[[#This Row],[Draftrate]],ROUND(TblPop[[#This Row],[Peasants]]*Constants!$B$55,0), 0) * IF(AND(TblMagic[[#This Row],[Active DnD]]&lt;=12,TblMagic[[#This Row],[Active DnD]]&gt;6),1.5,1),0)</f>
        <v>6</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46103.958333333205</v>
      </c>
      <c r="C57" s="94">
        <f ca="1">OFFSET(TblPop[[#This Row],[Peasants]],-1,0)+OFFSET(TblPop[[#This Row],[Net Peasant]],-1,0)+TblMili[[#This Row],[Release Draft]]</f>
        <v>589</v>
      </c>
      <c r="D57" s="94">
        <f ca="1">TblMili[[#This Row],[Military]]</f>
        <v>487</v>
      </c>
      <c r="E57" s="94">
        <f ca="1">TblMili[[#This Row],[Draftees]]</f>
        <v>487</v>
      </c>
      <c r="F57" s="94">
        <f ca="1">TblPop[[#This Row],[Peasants]]+TblPop[[#This Row],[Military]]</f>
        <v>1076</v>
      </c>
      <c r="G57" s="139">
        <f ca="1">TblPop[[#This Row],[Military]]/TblPop[[#This Row],[Total]]</f>
        <v>0.45260223048327136</v>
      </c>
      <c r="H57" s="140">
        <f ca="1">MIN(TblPop[[#This Row],[Peasants]],TblPop[[#This Row],[Jobs]])</f>
        <v>589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487</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1076</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7" s="94">
        <f ca="1">MAX(-5%*TblPop[[#This Row],[Peasants]]-TblPop[[#This Row],[Draft Growth]],MIN(OFFSET(TblPop[[#This Row],[Net max]],1,0)-TblPop[[#This Row],[Peasants]]-TblPop[[#This Row],[Military]]-TblPop[[#This Row],[Draft Growth]],TblPop[[#This Row],[Modded Birth]]-TblPop[[#This Row],[Draft Growth]]))</f>
        <v>-6</v>
      </c>
      <c r="X57" s="94">
        <f ca="1">ROUND(TblPop[[#This Row],[Raw Birth]]*(1+TblPop[[#This Row],[Growth]]),0)</f>
        <v>17</v>
      </c>
      <c r="Y57" s="94">
        <f ca="1">(TblPop[[#This Row],[Peasants]]-TblPop[[#This Row],[Draft Growth]])*raw_pop_growth</f>
        <v>17.489999999999998</v>
      </c>
      <c r="Z57" s="94">
        <f ca="1">ROUND(IF(TblPop[[#This Row],[Military%]]&lt;TblMili[[#This Row],[Draftrate]],ROUND(TblPop[[#This Row],[Peasants]]*Constants!$B$55,0), 0) * IF(AND(TblMagic[[#This Row],[Active DnD]]&lt;=12,TblMagic[[#This Row],[Active DnD]]&gt;6),1.5,1),0)</f>
        <v>6</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46103.999999999869</v>
      </c>
      <c r="C58" s="94">
        <f ca="1">OFFSET(TblPop[[#This Row],[Peasants]],-1,0)+OFFSET(TblPop[[#This Row],[Net Peasant]],-1,0)+TblMili[[#This Row],[Release Draft]]</f>
        <v>583</v>
      </c>
      <c r="D58" s="94">
        <f ca="1">TblMili[[#This Row],[Military]]</f>
        <v>493</v>
      </c>
      <c r="E58" s="94">
        <f ca="1">TblMili[[#This Row],[Draftees]]</f>
        <v>493</v>
      </c>
      <c r="F58" s="94">
        <f ca="1">TblPop[[#This Row],[Peasants]]+TblPop[[#This Row],[Military]]</f>
        <v>1076</v>
      </c>
      <c r="G58" s="139">
        <f ca="1">TblPop[[#This Row],[Military]]/TblPop[[#This Row],[Total]]</f>
        <v>0.45817843866171004</v>
      </c>
      <c r="H58" s="140">
        <f ca="1">MIN(TblPop[[#This Row],[Peasants]],TblPop[[#This Row],[Jobs]])</f>
        <v>583</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493</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1076</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8" s="94">
        <f ca="1">MAX(-5%*TblPop[[#This Row],[Peasants]]-TblPop[[#This Row],[Draft Growth]],MIN(OFFSET(TblPop[[#This Row],[Net max]],1,0)-TblPop[[#This Row],[Peasants]]-TblPop[[#This Row],[Military]]-TblPop[[#This Row],[Draft Growth]],TblPop[[#This Row],[Modded Birth]]-TblPop[[#This Row],[Draft Growth]]))</f>
        <v>-6</v>
      </c>
      <c r="X58" s="94">
        <f ca="1">ROUND(TblPop[[#This Row],[Raw Birth]]*(1+TblPop[[#This Row],[Growth]]),0)</f>
        <v>17</v>
      </c>
      <c r="Y58" s="94">
        <f ca="1">(TblPop[[#This Row],[Peasants]]-TblPop[[#This Row],[Draft Growth]])*raw_pop_growth</f>
        <v>17.309999999999999</v>
      </c>
      <c r="Z58" s="94">
        <f ca="1">ROUND(IF(TblPop[[#This Row],[Military%]]&lt;TblMili[[#This Row],[Draftrate]],ROUND(TblPop[[#This Row],[Peasants]]*Constants!$B$55,0), 0) * IF(AND(TblMagic[[#This Row],[Active DnD]]&lt;=12,TblMagic[[#This Row],[Active DnD]]&gt;6),1.5,1),0)</f>
        <v>6</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46104.041666666533</v>
      </c>
      <c r="C59" s="94">
        <f ca="1">OFFSET(TblPop[[#This Row],[Peasants]],-1,0)+OFFSET(TblPop[[#This Row],[Net Peasant]],-1,0)+TblMili[[#This Row],[Release Draft]]</f>
        <v>577</v>
      </c>
      <c r="D59" s="94">
        <f ca="1">TblMili[[#This Row],[Military]]</f>
        <v>499</v>
      </c>
      <c r="E59" s="94">
        <f ca="1">TblMili[[#This Row],[Draftees]]</f>
        <v>499</v>
      </c>
      <c r="F59" s="94">
        <f ca="1">TblPop[[#This Row],[Peasants]]+TblPop[[#This Row],[Military]]</f>
        <v>1076</v>
      </c>
      <c r="G59" s="139">
        <f ca="1">TblPop[[#This Row],[Military]]/TblPop[[#This Row],[Total]]</f>
        <v>0.46375464684014872</v>
      </c>
      <c r="H59" s="140">
        <f ca="1">MIN(TblPop[[#This Row],[Peasants]],TblPop[[#This Row],[Jobs]])</f>
        <v>577</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499</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1076</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9" s="94">
        <f ca="1">MAX(-5%*TblPop[[#This Row],[Peasants]]-TblPop[[#This Row],[Draft Growth]],MIN(OFFSET(TblPop[[#This Row],[Net max]],1,0)-TblPop[[#This Row],[Peasants]]-TblPop[[#This Row],[Military]]-TblPop[[#This Row],[Draft Growth]],TblPop[[#This Row],[Modded Birth]]-TblPop[[#This Row],[Draft Growth]]))</f>
        <v>-6</v>
      </c>
      <c r="X59" s="94">
        <f ca="1">ROUND(TblPop[[#This Row],[Raw Birth]]*(1+TblPop[[#This Row],[Growth]]),0)</f>
        <v>17</v>
      </c>
      <c r="Y59" s="94">
        <f ca="1">(TblPop[[#This Row],[Peasants]]-TblPop[[#This Row],[Draft Growth]])*raw_pop_growth</f>
        <v>17.13</v>
      </c>
      <c r="Z59" s="94">
        <f ca="1">ROUND(IF(TblPop[[#This Row],[Military%]]&lt;TblMili[[#This Row],[Draftrate]],ROUND(TblPop[[#This Row],[Peasants]]*Constants!$B$55,0), 0) * IF(AND(TblMagic[[#This Row],[Active DnD]]&lt;=12,TblMagic[[#This Row],[Active DnD]]&gt;6),1.5,1),0)</f>
        <v>6</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46104.083333333198</v>
      </c>
      <c r="C60" s="94">
        <f ca="1">OFFSET(TblPop[[#This Row],[Peasants]],-1,0)+OFFSET(TblPop[[#This Row],[Net Peasant]],-1,0)+TblMili[[#This Row],[Release Draft]]</f>
        <v>571</v>
      </c>
      <c r="D60" s="94">
        <f ca="1">TblMili[[#This Row],[Military]]</f>
        <v>505</v>
      </c>
      <c r="E60" s="94">
        <f ca="1">TblMili[[#This Row],[Draftees]]</f>
        <v>505</v>
      </c>
      <c r="F60" s="94">
        <f ca="1">TblPop[[#This Row],[Peasants]]+TblPop[[#This Row],[Military]]</f>
        <v>1076</v>
      </c>
      <c r="G60" s="139">
        <f ca="1">TblPop[[#This Row],[Military]]/TblPop[[#This Row],[Total]]</f>
        <v>0.46933085501858735</v>
      </c>
      <c r="H60" s="140">
        <f ca="1">MIN(TblPop[[#This Row],[Peasants]],TblPop[[#This Row],[Jobs]])</f>
        <v>571</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1076</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0" s="94">
        <f ca="1">MAX(-5%*TblPop[[#This Row],[Peasants]]-TblPop[[#This Row],[Draft Growth]],MIN(OFFSET(TblPop[[#This Row],[Net max]],1,0)-TblPop[[#This Row],[Peasants]]-TblPop[[#This Row],[Military]]-TblPop[[#This Row],[Draft Growth]],TblPop[[#This Row],[Modded Birth]]-TblPop[[#This Row],[Draft Growth]]))</f>
        <v>-6</v>
      </c>
      <c r="X60" s="94">
        <f ca="1">ROUND(TblPop[[#This Row],[Raw Birth]]*(1+TblPop[[#This Row],[Growth]]),0)</f>
        <v>17</v>
      </c>
      <c r="Y60" s="94">
        <f ca="1">(TblPop[[#This Row],[Peasants]]-TblPop[[#This Row],[Draft Growth]])*raw_pop_growth</f>
        <v>16.95</v>
      </c>
      <c r="Z60" s="94">
        <f ca="1">ROUND(IF(TblPop[[#This Row],[Military%]]&lt;TblMili[[#This Row],[Draftrate]],ROUND(TblPop[[#This Row],[Peasants]]*Constants!$B$55,0), 0) * IF(AND(TblMagic[[#This Row],[Active DnD]]&lt;=12,TblMagic[[#This Row],[Active DnD]]&gt;6),1.5,1),0)</f>
        <v>6</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46104.124999999862</v>
      </c>
      <c r="C61" s="94">
        <f ca="1">OFFSET(TblPop[[#This Row],[Peasants]],-1,0)+OFFSET(TblPop[[#This Row],[Net Peasant]],-1,0)+TblMili[[#This Row],[Release Draft]]</f>
        <v>565</v>
      </c>
      <c r="D61" s="94">
        <f ca="1">TblMili[[#This Row],[Military]]</f>
        <v>511</v>
      </c>
      <c r="E61" s="94">
        <f ca="1">TblMili[[#This Row],[Draftees]]</f>
        <v>511</v>
      </c>
      <c r="F61" s="94">
        <f ca="1">TblPop[[#This Row],[Peasants]]+TblPop[[#This Row],[Military]]</f>
        <v>1076</v>
      </c>
      <c r="G61" s="139">
        <f ca="1">TblPop[[#This Row],[Military]]/TblPop[[#This Row],[Total]]</f>
        <v>0.47490706319702602</v>
      </c>
      <c r="H61" s="140">
        <f ca="1">MIN(TblPop[[#This Row],[Peasants]],TblPop[[#This Row],[Jobs]])</f>
        <v>565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511</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1076</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1" s="94">
        <f ca="1">MAX(-5%*TblPop[[#This Row],[Peasants]]-TblPop[[#This Row],[Draft Growth]],MIN(OFFSET(TblPop[[#This Row],[Net max]],1,0)-TblPop[[#This Row],[Peasants]]-TblPop[[#This Row],[Military]]-TblPop[[#This Row],[Draft Growth]],TblPop[[#This Row],[Modded Birth]]-TblPop[[#This Row],[Draft Growth]]))</f>
        <v>-6</v>
      </c>
      <c r="X61" s="94">
        <f ca="1">ROUND(TblPop[[#This Row],[Raw Birth]]*(1+TblPop[[#This Row],[Growth]]),0)</f>
        <v>17</v>
      </c>
      <c r="Y61" s="94">
        <f ca="1">(TblPop[[#This Row],[Peasants]]-TblPop[[#This Row],[Draft Growth]])*raw_pop_growth</f>
        <v>16.77</v>
      </c>
      <c r="Z61" s="94">
        <f ca="1">ROUND(IF(TblPop[[#This Row],[Military%]]&lt;TblMili[[#This Row],[Draftrate]],ROUND(TblPop[[#This Row],[Peasants]]*Constants!$B$55,0), 0) * IF(AND(TblMagic[[#This Row],[Active DnD]]&lt;=12,TblMagic[[#This Row],[Active DnD]]&gt;6),1.5,1),0)</f>
        <v>6</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46104.166666666526</v>
      </c>
      <c r="C62" s="94">
        <f ca="1">OFFSET(TblPop[[#This Row],[Peasants]],-1,0)+OFFSET(TblPop[[#This Row],[Net Peasant]],-1,0)+TblMili[[#This Row],[Release Draft]]</f>
        <v>559</v>
      </c>
      <c r="D62" s="94">
        <f ca="1">TblMili[[#This Row],[Military]]</f>
        <v>517</v>
      </c>
      <c r="E62" s="94">
        <f ca="1">TblMili[[#This Row],[Draftees]]</f>
        <v>517</v>
      </c>
      <c r="F62" s="94">
        <f ca="1">TblPop[[#This Row],[Peasants]]+TblPop[[#This Row],[Military]]</f>
        <v>1076</v>
      </c>
      <c r="G62" s="139">
        <f ca="1">TblPop[[#This Row],[Military]]/TblPop[[#This Row],[Total]]</f>
        <v>0.4804832713754647</v>
      </c>
      <c r="H62" s="140">
        <f ca="1">MIN(TblPop[[#This Row],[Peasants]],TblPop[[#This Row],[Jobs]])</f>
        <v>559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517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1076</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2" s="94">
        <f ca="1">MAX(-5%*TblPop[[#This Row],[Peasants]]-TblPop[[#This Row],[Draft Growth]],MIN(OFFSET(TblPop[[#This Row],[Net max]],1,0)-TblPop[[#This Row],[Peasants]]-TblPop[[#This Row],[Military]]-TblPop[[#This Row],[Draft Growth]],TblPop[[#This Row],[Modded Birth]]-TblPop[[#This Row],[Draft Growth]]))</f>
        <v>-6</v>
      </c>
      <c r="X62" s="94">
        <f ca="1">ROUND(TblPop[[#This Row],[Raw Birth]]*(1+TblPop[[#This Row],[Growth]]),0)</f>
        <v>17</v>
      </c>
      <c r="Y62" s="94">
        <f ca="1">(TblPop[[#This Row],[Peasants]]-TblPop[[#This Row],[Draft Growth]])*raw_pop_growth</f>
        <v>16.59</v>
      </c>
      <c r="Z62" s="94">
        <f ca="1">ROUND(IF(TblPop[[#This Row],[Military%]]&lt;TblMili[[#This Row],[Draftrate]],ROUND(TblPop[[#This Row],[Peasants]]*Constants!$B$55,0), 0) * IF(AND(TblMagic[[#This Row],[Active DnD]]&lt;=12,TblMagic[[#This Row],[Active DnD]]&gt;6),1.5,1),0)</f>
        <v>6</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46104.20833333319</v>
      </c>
      <c r="C63" s="94">
        <f ca="1">OFFSET(TblPop[[#This Row],[Peasants]],-1,0)+OFFSET(TblPop[[#This Row],[Net Peasant]],-1,0)+TblMili[[#This Row],[Release Draft]]</f>
        <v>553</v>
      </c>
      <c r="D63" s="94">
        <f ca="1">TblMili[[#This Row],[Military]]</f>
        <v>523</v>
      </c>
      <c r="E63" s="94">
        <f ca="1">TblMili[[#This Row],[Draftees]]</f>
        <v>523</v>
      </c>
      <c r="F63" s="94">
        <f ca="1">TblPop[[#This Row],[Peasants]]+TblPop[[#This Row],[Military]]</f>
        <v>1076</v>
      </c>
      <c r="G63" s="139">
        <f ca="1">TblPop[[#This Row],[Military]]/TblPop[[#This Row],[Total]]</f>
        <v>0.48605947955390333</v>
      </c>
      <c r="H63" s="140">
        <f ca="1">MIN(TblPop[[#This Row],[Peasants]],TblPop[[#This Row],[Jobs]])</f>
        <v>553</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1076</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3" s="94">
        <f ca="1">MAX(-5%*TblPop[[#This Row],[Peasants]]-TblPop[[#This Row],[Draft Growth]],MIN(OFFSET(TblPop[[#This Row],[Net max]],1,0)-TblPop[[#This Row],[Peasants]]-TblPop[[#This Row],[Military]]-TblPop[[#This Row],[Draft Growth]],TblPop[[#This Row],[Modded Birth]]-TblPop[[#This Row],[Draft Growth]]))</f>
        <v>-6</v>
      </c>
      <c r="X63" s="94">
        <f ca="1">ROUND(TblPop[[#This Row],[Raw Birth]]*(1+TblPop[[#This Row],[Growth]]),0)</f>
        <v>16</v>
      </c>
      <c r="Y63" s="94">
        <f ca="1">(TblPop[[#This Row],[Peasants]]-TblPop[[#This Row],[Draft Growth]])*raw_pop_growth</f>
        <v>16.41</v>
      </c>
      <c r="Z63" s="94">
        <f ca="1">ROUND(IF(TblPop[[#This Row],[Military%]]&lt;TblMili[[#This Row],[Draftrate]],ROUND(TblPop[[#This Row],[Peasants]]*Constants!$B$55,0), 0) * IF(AND(TblMagic[[#This Row],[Active DnD]]&lt;=12,TblMagic[[#This Row],[Active DnD]]&gt;6),1.5,1),0)</f>
        <v>6</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46104.249999999854</v>
      </c>
      <c r="C64" s="94">
        <f ca="1">OFFSET(TblPop[[#This Row],[Peasants]],-1,0)+OFFSET(TblPop[[#This Row],[Net Peasant]],-1,0)+TblMili[[#This Row],[Release Draft]]</f>
        <v>547</v>
      </c>
      <c r="D64" s="94">
        <f ca="1">TblMili[[#This Row],[Military]]</f>
        <v>529</v>
      </c>
      <c r="E64" s="94">
        <f ca="1">TblMili[[#This Row],[Draftees]]</f>
        <v>529</v>
      </c>
      <c r="F64" s="94">
        <f ca="1">TblPop[[#This Row],[Peasants]]+TblPop[[#This Row],[Military]]</f>
        <v>1076</v>
      </c>
      <c r="G64" s="139">
        <f ca="1">TblPop[[#This Row],[Military]]/TblPop[[#This Row],[Total]]</f>
        <v>0.49163568773234201</v>
      </c>
      <c r="H64" s="140">
        <f ca="1">MIN(TblPop[[#This Row],[Peasants]],TblPop[[#This Row],[Jobs]])</f>
        <v>547</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529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1076</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4" s="94">
        <f ca="1">MAX(-5%*TblPop[[#This Row],[Peasants]]-TblPop[[#This Row],[Draft Growth]],MIN(OFFSET(TblPop[[#This Row],[Net max]],1,0)-TblPop[[#This Row],[Peasants]]-TblPop[[#This Row],[Military]]-TblPop[[#This Row],[Draft Growth]],TblPop[[#This Row],[Modded Birth]]-TblPop[[#This Row],[Draft Growth]]))</f>
        <v>-5</v>
      </c>
      <c r="X64" s="94">
        <f ca="1">ROUND(TblPop[[#This Row],[Raw Birth]]*(1+TblPop[[#This Row],[Growth]]),0)</f>
        <v>16</v>
      </c>
      <c r="Y64" s="94">
        <f ca="1">(TblPop[[#This Row],[Peasants]]-TblPop[[#This Row],[Draft Growth]])*raw_pop_growth</f>
        <v>16.259999999999998</v>
      </c>
      <c r="Z64" s="94">
        <f ca="1">ROUND(IF(TblPop[[#This Row],[Military%]]&lt;TblMili[[#This Row],[Draftrate]],ROUND(TblPop[[#This Row],[Peasants]]*Constants!$B$55,0), 0) * IF(AND(TblMagic[[#This Row],[Active DnD]]&lt;=12,TblMagic[[#This Row],[Active DnD]]&gt;6),1.5,1),0)</f>
        <v>5</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46104.291666666519</v>
      </c>
      <c r="C65" s="94">
        <f ca="1">OFFSET(TblPop[[#This Row],[Peasants]],-1,0)+OFFSET(TblPop[[#This Row],[Net Peasant]],-1,0)+TblMili[[#This Row],[Release Draft]]</f>
        <v>542</v>
      </c>
      <c r="D65" s="94">
        <f ca="1">TblMili[[#This Row],[Military]]</f>
        <v>534</v>
      </c>
      <c r="E65" s="94">
        <f ca="1">TblMili[[#This Row],[Draftees]]</f>
        <v>534</v>
      </c>
      <c r="F65" s="94">
        <f ca="1">TblPop[[#This Row],[Peasants]]+TblPop[[#This Row],[Military]]</f>
        <v>1076</v>
      </c>
      <c r="G65" s="139">
        <f ca="1">TblPop[[#This Row],[Military]]/TblPop[[#This Row],[Total]]</f>
        <v>0.49628252788104088</v>
      </c>
      <c r="H65" s="140">
        <f ca="1">MIN(TblPop[[#This Row],[Peasants]],TblPop[[#This Row],[Jobs]])</f>
        <v>542</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534</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1076</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5" s="94">
        <f ca="1">MAX(-5%*TblPop[[#This Row],[Peasants]]-TblPop[[#This Row],[Draft Growth]],MIN(OFFSET(TblPop[[#This Row],[Net max]],1,0)-TblPop[[#This Row],[Peasants]]-TblPop[[#This Row],[Military]]-TblPop[[#This Row],[Draft Growth]],TblPop[[#This Row],[Modded Birth]]-TblPop[[#This Row],[Draft Growth]]))</f>
        <v>-5</v>
      </c>
      <c r="X65" s="94">
        <f ca="1">ROUND(TblPop[[#This Row],[Raw Birth]]*(1+TblPop[[#This Row],[Growth]]),0)</f>
        <v>16</v>
      </c>
      <c r="Y65" s="94">
        <f ca="1">(TblPop[[#This Row],[Peasants]]-TblPop[[#This Row],[Draft Growth]])*raw_pop_growth</f>
        <v>16.11</v>
      </c>
      <c r="Z65" s="94">
        <f ca="1">ROUND(IF(TblPop[[#This Row],[Military%]]&lt;TblMili[[#This Row],[Draftrate]],ROUND(TblPop[[#This Row],[Peasants]]*Constants!$B$55,0), 0) * IF(AND(TblMagic[[#This Row],[Active DnD]]&lt;=12,TblMagic[[#This Row],[Active DnD]]&gt;6),1.5,1),0)</f>
        <v>5</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46104.333333333183</v>
      </c>
      <c r="C66" s="94">
        <f ca="1">OFFSET(TblPop[[#This Row],[Peasants]],-1,0)+OFFSET(TblPop[[#This Row],[Net Peasant]],-1,0)+TblMili[[#This Row],[Release Draft]]</f>
        <v>537</v>
      </c>
      <c r="D66" s="94">
        <f ca="1">TblMili[[#This Row],[Military]]</f>
        <v>539</v>
      </c>
      <c r="E66" s="94">
        <f ca="1">TblMili[[#This Row],[Draftees]]</f>
        <v>539</v>
      </c>
      <c r="F66" s="94">
        <f ca="1">TblPop[[#This Row],[Peasants]]+TblPop[[#This Row],[Military]]</f>
        <v>1076</v>
      </c>
      <c r="G66" s="139">
        <f ca="1">TblPop[[#This Row],[Military]]/TblPop[[#This Row],[Total]]</f>
        <v>0.50092936802973975</v>
      </c>
      <c r="H66" s="140">
        <f ca="1">MIN(TblPop[[#This Row],[Peasants]],TblPop[[#This Row],[Jobs]])</f>
        <v>537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539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1076</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6" s="94">
        <f ca="1">MAX(-5%*TblPop[[#This Row],[Peasants]]-TblPop[[#This Row],[Draft Growth]],MIN(OFFSET(TblPop[[#This Row],[Net max]],1,0)-TblPop[[#This Row],[Peasants]]-TblPop[[#This Row],[Military]]-TblPop[[#This Row],[Draft Growth]],TblPop[[#This Row],[Modded Birth]]-TblPop[[#This Row],[Draft Growth]]))</f>
        <v>-5</v>
      </c>
      <c r="X66" s="94">
        <f ca="1">ROUND(TblPop[[#This Row],[Raw Birth]]*(1+TblPop[[#This Row],[Growth]]),0)</f>
        <v>16</v>
      </c>
      <c r="Y66" s="94">
        <f ca="1">(TblPop[[#This Row],[Peasants]]-TblPop[[#This Row],[Draft Growth]])*raw_pop_growth</f>
        <v>15.959999999999999</v>
      </c>
      <c r="Z66" s="94">
        <f ca="1">ROUND(IF(TblPop[[#This Row],[Military%]]&lt;TblMili[[#This Row],[Draftrate]],ROUND(TblPop[[#This Row],[Peasants]]*Constants!$B$55,0), 0) * IF(AND(TblMagic[[#This Row],[Active DnD]]&lt;=12,TblMagic[[#This Row],[Active DnD]]&gt;6),1.5,1),0)</f>
        <v>5</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46104.374999999847</v>
      </c>
      <c r="C67" s="94">
        <f ca="1">OFFSET(TblPop[[#This Row],[Peasants]],-1,0)+OFFSET(TblPop[[#This Row],[Net Peasant]],-1,0)+TblMili[[#This Row],[Release Draft]]</f>
        <v>532</v>
      </c>
      <c r="D67" s="94">
        <f ca="1">TblMili[[#This Row],[Military]]</f>
        <v>544</v>
      </c>
      <c r="E67" s="94">
        <f ca="1">TblMili[[#This Row],[Draftees]]</f>
        <v>544</v>
      </c>
      <c r="F67" s="94">
        <f ca="1">TblPop[[#This Row],[Peasants]]+TblPop[[#This Row],[Military]]</f>
        <v>1076</v>
      </c>
      <c r="G67" s="139">
        <f ca="1">TblPop[[#This Row],[Military]]/TblPop[[#This Row],[Total]]</f>
        <v>0.50557620817843862</v>
      </c>
      <c r="H67" s="140">
        <f ca="1">MIN(TblPop[[#This Row],[Peasants]],TblPop[[#This Row],[Jobs]])</f>
        <v>532</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544</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1076</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7" s="94">
        <f ca="1">MAX(-5%*TblPop[[#This Row],[Peasants]]-TblPop[[#This Row],[Draft Growth]],MIN(OFFSET(TblPop[[#This Row],[Net max]],1,0)-TblPop[[#This Row],[Peasants]]-TblPop[[#This Row],[Military]]-TblPop[[#This Row],[Draft Growth]],TblPop[[#This Row],[Modded Birth]]-TblPop[[#This Row],[Draft Growth]]))</f>
        <v>-5</v>
      </c>
      <c r="X67" s="94">
        <f ca="1">ROUND(TblPop[[#This Row],[Raw Birth]]*(1+TblPop[[#This Row],[Growth]]),0)</f>
        <v>16</v>
      </c>
      <c r="Y67" s="94">
        <f ca="1">(TblPop[[#This Row],[Peasants]]-TblPop[[#This Row],[Draft Growth]])*raw_pop_growth</f>
        <v>15.809999999999999</v>
      </c>
      <c r="Z67" s="94">
        <f ca="1">ROUND(IF(TblPop[[#This Row],[Military%]]&lt;TblMili[[#This Row],[Draftrate]],ROUND(TblPop[[#This Row],[Peasants]]*Constants!$B$55,0), 0) * IF(AND(TblMagic[[#This Row],[Active DnD]]&lt;=12,TblMagic[[#This Row],[Active DnD]]&gt;6),1.5,1),0)</f>
        <v>5</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46104.416666666511</v>
      </c>
      <c r="C68" s="94">
        <f ca="1">OFFSET(TblPop[[#This Row],[Peasants]],-1,0)+OFFSET(TblPop[[#This Row],[Net Peasant]],-1,0)+TblMili[[#This Row],[Release Draft]]</f>
        <v>527</v>
      </c>
      <c r="D68" s="94">
        <f ca="1">TblMili[[#This Row],[Military]]</f>
        <v>549</v>
      </c>
      <c r="E68" s="94">
        <f ca="1">TblMili[[#This Row],[Draftees]]</f>
        <v>549</v>
      </c>
      <c r="F68" s="94">
        <f ca="1">TblPop[[#This Row],[Peasants]]+TblPop[[#This Row],[Military]]</f>
        <v>1076</v>
      </c>
      <c r="G68" s="139">
        <f ca="1">TblPop[[#This Row],[Military]]/TblPop[[#This Row],[Total]]</f>
        <v>0.5102230483271375</v>
      </c>
      <c r="H68" s="140">
        <f ca="1">MIN(TblPop[[#This Row],[Peasants]],TblPop[[#This Row],[Jobs]])</f>
        <v>527</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549</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1076</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8" s="94">
        <f ca="1">MAX(-5%*TblPop[[#This Row],[Peasants]]-TblPop[[#This Row],[Draft Growth]],MIN(OFFSET(TblPop[[#This Row],[Net max]],1,0)-TblPop[[#This Row],[Peasants]]-TblPop[[#This Row],[Military]]-TblPop[[#This Row],[Draft Growth]],TblPop[[#This Row],[Modded Birth]]-TblPop[[#This Row],[Draft Growth]]))</f>
        <v>-5</v>
      </c>
      <c r="X68" s="94">
        <f ca="1">ROUND(TblPop[[#This Row],[Raw Birth]]*(1+TblPop[[#This Row],[Growth]]),0)</f>
        <v>16</v>
      </c>
      <c r="Y68" s="94">
        <f ca="1">(TblPop[[#This Row],[Peasants]]-TblPop[[#This Row],[Draft Growth]])*raw_pop_growth</f>
        <v>15.66</v>
      </c>
      <c r="Z68" s="94">
        <f ca="1">ROUND(IF(TblPop[[#This Row],[Military%]]&lt;TblMili[[#This Row],[Draftrate]],ROUND(TblPop[[#This Row],[Peasants]]*Constants!$B$55,0), 0) * IF(AND(TblMagic[[#This Row],[Active DnD]]&lt;=12,TblMagic[[#This Row],[Active DnD]]&gt;6),1.5,1),0)</f>
        <v>5</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46104.458333333176</v>
      </c>
      <c r="C69" s="94">
        <f ca="1">OFFSET(TblPop[[#This Row],[Peasants]],-1,0)+OFFSET(TblPop[[#This Row],[Net Peasant]],-1,0)+TblMili[[#This Row],[Release Draft]]</f>
        <v>522</v>
      </c>
      <c r="D69" s="94">
        <f ca="1">TblMili[[#This Row],[Military]]</f>
        <v>554</v>
      </c>
      <c r="E69" s="94">
        <f ca="1">TblMili[[#This Row],[Draftees]]</f>
        <v>554</v>
      </c>
      <c r="F69" s="94">
        <f ca="1">TblPop[[#This Row],[Peasants]]+TblPop[[#This Row],[Military]]</f>
        <v>1076</v>
      </c>
      <c r="G69" s="139">
        <f ca="1">TblPop[[#This Row],[Military]]/TblPop[[#This Row],[Total]]</f>
        <v>0.51486988847583648</v>
      </c>
      <c r="H69" s="140">
        <f ca="1">MIN(TblPop[[#This Row],[Peasants]],TblPop[[#This Row],[Jobs]])</f>
        <v>522</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554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1076</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9" s="94">
        <f ca="1">MAX(-5%*TblPop[[#This Row],[Peasants]]-TblPop[[#This Row],[Draft Growth]],MIN(OFFSET(TblPop[[#This Row],[Net max]],1,0)-TblPop[[#This Row],[Peasants]]-TblPop[[#This Row],[Military]]-TblPop[[#This Row],[Draft Growth]],TblPop[[#This Row],[Modded Birth]]-TblPop[[#This Row],[Draft Growth]]))</f>
        <v>-5</v>
      </c>
      <c r="X69" s="94">
        <f ca="1">ROUND(TblPop[[#This Row],[Raw Birth]]*(1+TblPop[[#This Row],[Growth]]),0)</f>
        <v>16</v>
      </c>
      <c r="Y69" s="94">
        <f ca="1">(TblPop[[#This Row],[Peasants]]-TblPop[[#This Row],[Draft Growth]])*raw_pop_growth</f>
        <v>15.51</v>
      </c>
      <c r="Z69" s="94">
        <f ca="1">ROUND(IF(TblPop[[#This Row],[Military%]]&lt;TblMili[[#This Row],[Draftrate]],ROUND(TblPop[[#This Row],[Peasants]]*Constants!$B$55,0), 0) * IF(AND(TblMagic[[#This Row],[Active DnD]]&lt;=12,TblMagic[[#This Row],[Active DnD]]&gt;6),1.5,1),0)</f>
        <v>5</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46104.49999999984</v>
      </c>
      <c r="C70" s="94">
        <f ca="1">OFFSET(TblPop[[#This Row],[Peasants]],-1,0)+OFFSET(TblPop[[#This Row],[Net Peasant]],-1,0)+TblMili[[#This Row],[Release Draft]]</f>
        <v>517</v>
      </c>
      <c r="D70" s="94">
        <f ca="1">TblMili[[#This Row],[Military]]</f>
        <v>559</v>
      </c>
      <c r="E70" s="94">
        <f ca="1">TblMili[[#This Row],[Draftees]]</f>
        <v>559</v>
      </c>
      <c r="F70" s="94">
        <f ca="1">TblPop[[#This Row],[Peasants]]+TblPop[[#This Row],[Military]]</f>
        <v>1076</v>
      </c>
      <c r="G70" s="139">
        <f ca="1">TblPop[[#This Row],[Military]]/TblPop[[#This Row],[Total]]</f>
        <v>0.51951672862453535</v>
      </c>
      <c r="H70" s="140">
        <f ca="1">MIN(TblPop[[#This Row],[Peasants]],TblPop[[#This Row],[Jobs]])</f>
        <v>517</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559</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1076</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0" s="94">
        <f ca="1">MAX(-5%*TblPop[[#This Row],[Peasants]]-TblPop[[#This Row],[Draft Growth]],MIN(OFFSET(TblPop[[#This Row],[Net max]],1,0)-TblPop[[#This Row],[Peasants]]-TblPop[[#This Row],[Military]]-TblPop[[#This Row],[Draft Growth]],TblPop[[#This Row],[Modded Birth]]-TblPop[[#This Row],[Draft Growth]]))</f>
        <v>-5</v>
      </c>
      <c r="X70" s="94">
        <f ca="1">ROUND(TblPop[[#This Row],[Raw Birth]]*(1+TblPop[[#This Row],[Growth]]),0)</f>
        <v>15</v>
      </c>
      <c r="Y70" s="94">
        <f ca="1">(TblPop[[#This Row],[Peasants]]-TblPop[[#This Row],[Draft Growth]])*raw_pop_growth</f>
        <v>15.36</v>
      </c>
      <c r="Z70" s="94">
        <f ca="1">ROUND(IF(TblPop[[#This Row],[Military%]]&lt;TblMili[[#This Row],[Draftrate]],ROUND(TblPop[[#This Row],[Peasants]]*Constants!$B$55,0), 0) * IF(AND(TblMagic[[#This Row],[Active DnD]]&lt;=12,TblMagic[[#This Row],[Active DnD]]&gt;6),1.5,1),0)</f>
        <v>5</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46104.541666666504</v>
      </c>
      <c r="C71" s="94">
        <f ca="1">OFFSET(TblPop[[#This Row],[Peasants]],-1,0)+OFFSET(TblPop[[#This Row],[Net Peasant]],-1,0)+TblMili[[#This Row],[Release Draft]]</f>
        <v>512</v>
      </c>
      <c r="D71" s="94">
        <f ca="1">TblMili[[#This Row],[Military]]</f>
        <v>564</v>
      </c>
      <c r="E71" s="94">
        <f ca="1">TblMili[[#This Row],[Draftees]]</f>
        <v>564</v>
      </c>
      <c r="F71" s="94">
        <f ca="1">TblPop[[#This Row],[Peasants]]+TblPop[[#This Row],[Military]]</f>
        <v>1076</v>
      </c>
      <c r="G71" s="139">
        <f ca="1">TblPop[[#This Row],[Military]]/TblPop[[#This Row],[Total]]</f>
        <v>0.52416356877323422</v>
      </c>
      <c r="H71" s="140">
        <f ca="1">MIN(TblPop[[#This Row],[Peasants]],TblPop[[#This Row],[Jobs]])</f>
        <v>512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564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1076</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1" s="94">
        <f ca="1">MAX(-5%*TblPop[[#This Row],[Peasants]]-TblPop[[#This Row],[Draft Growth]],MIN(OFFSET(TblPop[[#This Row],[Net max]],1,0)-TblPop[[#This Row],[Peasants]]-TblPop[[#This Row],[Military]]-TblPop[[#This Row],[Draft Growth]],TblPop[[#This Row],[Modded Birth]]-TblPop[[#This Row],[Draft Growth]]))</f>
        <v>-5</v>
      </c>
      <c r="X71" s="94">
        <f ca="1">ROUND(TblPop[[#This Row],[Raw Birth]]*(1+TblPop[[#This Row],[Growth]]),0)</f>
        <v>15</v>
      </c>
      <c r="Y71" s="94">
        <f ca="1">(TblPop[[#This Row],[Peasants]]-TblPop[[#This Row],[Draft Growth]])*raw_pop_growth</f>
        <v>15.209999999999999</v>
      </c>
      <c r="Z71" s="94">
        <f ca="1">ROUND(IF(TblPop[[#This Row],[Military%]]&lt;TblMili[[#This Row],[Draftrate]],ROUND(TblPop[[#This Row],[Peasants]]*Constants!$B$55,0), 0) * IF(AND(TblMagic[[#This Row],[Active DnD]]&lt;=12,TblMagic[[#This Row],[Active DnD]]&gt;6),1.5,1),0)</f>
        <v>5</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46104.583333333168</v>
      </c>
      <c r="C72" s="94">
        <f ca="1">OFFSET(TblPop[[#This Row],[Peasants]],-1,0)+OFFSET(TblPop[[#This Row],[Net Peasant]],-1,0)+TblMili[[#This Row],[Release Draft]]</f>
        <v>507</v>
      </c>
      <c r="D72" s="94">
        <f ca="1">TblMili[[#This Row],[Military]]</f>
        <v>569</v>
      </c>
      <c r="E72" s="94">
        <f ca="1">TblMili[[#This Row],[Draftees]]</f>
        <v>569</v>
      </c>
      <c r="F72" s="94">
        <f ca="1">TblPop[[#This Row],[Peasants]]+TblPop[[#This Row],[Military]]</f>
        <v>1076</v>
      </c>
      <c r="G72" s="139">
        <f ca="1">TblPop[[#This Row],[Military]]/TblPop[[#This Row],[Total]]</f>
        <v>0.52881040892193309</v>
      </c>
      <c r="H72" s="140">
        <f ca="1">MIN(TblPop[[#This Row],[Peasants]],TblPop[[#This Row],[Jobs]])</f>
        <v>507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569</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1076</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2" s="94">
        <f ca="1">MAX(-5%*TblPop[[#This Row],[Peasants]]-TblPop[[#This Row],[Draft Growth]],MIN(OFFSET(TblPop[[#This Row],[Net max]],1,0)-TblPop[[#This Row],[Peasants]]-TblPop[[#This Row],[Military]]-TblPop[[#This Row],[Draft Growth]],TblPop[[#This Row],[Modded Birth]]-TblPop[[#This Row],[Draft Growth]]))</f>
        <v>-5</v>
      </c>
      <c r="X72" s="94">
        <f ca="1">ROUND(TblPop[[#This Row],[Raw Birth]]*(1+TblPop[[#This Row],[Growth]]),0)</f>
        <v>15</v>
      </c>
      <c r="Y72" s="94">
        <f ca="1">(TblPop[[#This Row],[Peasants]]-TblPop[[#This Row],[Draft Growth]])*raw_pop_growth</f>
        <v>15.059999999999999</v>
      </c>
      <c r="Z72" s="94">
        <f ca="1">ROUND(IF(TblPop[[#This Row],[Military%]]&lt;TblMili[[#This Row],[Draftrate]],ROUND(TblPop[[#This Row],[Peasants]]*Constants!$B$55,0), 0) * IF(AND(TblMagic[[#This Row],[Active DnD]]&lt;=12,TblMagic[[#This Row],[Active DnD]]&gt;6),1.5,1),0)</f>
        <v>5</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46104.624999999833</v>
      </c>
      <c r="C73" s="94">
        <f ca="1">OFFSET(TblPop[[#This Row],[Peasants]],-1,0)+OFFSET(TblPop[[#This Row],[Net Peasant]],-1,0)+TblMili[[#This Row],[Release Draft]]</f>
        <v>502</v>
      </c>
      <c r="D73" s="94">
        <f ca="1">TblMili[[#This Row],[Military]]</f>
        <v>574</v>
      </c>
      <c r="E73" s="94">
        <f ca="1">TblMili[[#This Row],[Draftees]]</f>
        <v>574</v>
      </c>
      <c r="F73" s="94">
        <f ca="1">TblPop[[#This Row],[Peasants]]+TblPop[[#This Row],[Military]]</f>
        <v>1076</v>
      </c>
      <c r="G73" s="139">
        <f ca="1">TblPop[[#This Row],[Military]]/TblPop[[#This Row],[Total]]</f>
        <v>0.53345724907063197</v>
      </c>
      <c r="H73" s="140">
        <f ca="1">MIN(TblPop[[#This Row],[Peasants]],TblPop[[#This Row],[Jobs]])</f>
        <v>502</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574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1076</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3" s="94">
        <f ca="1">MAX(-5%*TblPop[[#This Row],[Peasants]]-TblPop[[#This Row],[Draft Growth]],MIN(OFFSET(TblPop[[#This Row],[Net max]],1,0)-TblPop[[#This Row],[Peasants]]-TblPop[[#This Row],[Military]]-TblPop[[#This Row],[Draft Growth]],TblPop[[#This Row],[Modded Birth]]-TblPop[[#This Row],[Draft Growth]]))</f>
        <v>-5</v>
      </c>
      <c r="X73" s="94">
        <f ca="1">ROUND(TblPop[[#This Row],[Raw Birth]]*(1+TblPop[[#This Row],[Growth]]),0)</f>
        <v>15</v>
      </c>
      <c r="Y73" s="94">
        <f ca="1">(TblPop[[#This Row],[Peasants]]-TblPop[[#This Row],[Draft Growth]])*raw_pop_growth</f>
        <v>14.91</v>
      </c>
      <c r="Z73" s="94">
        <f ca="1">ROUND(IF(TblPop[[#This Row],[Military%]]&lt;TblMili[[#This Row],[Draftrate]],ROUND(TblPop[[#This Row],[Peasants]]*Constants!$B$55,0), 0) * IF(AND(TblMagic[[#This Row],[Active DnD]]&lt;=12,TblMagic[[#This Row],[Active DnD]]&gt;6),1.5,1),0)</f>
        <v>5</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46104.666666666497</v>
      </c>
      <c r="C74" s="94">
        <f ca="1">OFFSET(TblPop[[#This Row],[Peasants]],-1,0)+OFFSET(TblPop[[#This Row],[Net Peasant]],-1,0)+TblMili[[#This Row],[Release Draft]]</f>
        <v>497</v>
      </c>
      <c r="D74" s="94">
        <f ca="1">TblMili[[#This Row],[Military]]</f>
        <v>579</v>
      </c>
      <c r="E74" s="94">
        <f ca="1">TblMili[[#This Row],[Draftees]]</f>
        <v>579</v>
      </c>
      <c r="F74" s="94">
        <f ca="1">TblPop[[#This Row],[Peasants]]+TblPop[[#This Row],[Military]]</f>
        <v>1076</v>
      </c>
      <c r="G74" s="139">
        <f ca="1">TblPop[[#This Row],[Military]]/TblPop[[#This Row],[Total]]</f>
        <v>0.53810408921933084</v>
      </c>
      <c r="H74" s="140">
        <f ca="1">MIN(TblPop[[#This Row],[Peasants]],TblPop[[#This Row],[Jobs]])</f>
        <v>497</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579</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1076</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4" s="94">
        <f ca="1">MAX(-5%*TblPop[[#This Row],[Peasants]]-TblPop[[#This Row],[Draft Growth]],MIN(OFFSET(TblPop[[#This Row],[Net max]],1,0)-TblPop[[#This Row],[Peasants]]-TblPop[[#This Row],[Military]]-TblPop[[#This Row],[Draft Growth]],TblPop[[#This Row],[Modded Birth]]-TblPop[[#This Row],[Draft Growth]]))</f>
        <v>-5</v>
      </c>
      <c r="X74" s="94">
        <f ca="1">ROUND(TblPop[[#This Row],[Raw Birth]]*(1+TblPop[[#This Row],[Growth]]),0)</f>
        <v>15</v>
      </c>
      <c r="Y74" s="94">
        <f ca="1">(TblPop[[#This Row],[Peasants]]-TblPop[[#This Row],[Draft Growth]])*raw_pop_growth</f>
        <v>14.76</v>
      </c>
      <c r="Z74" s="94">
        <f ca="1">ROUND(IF(TblPop[[#This Row],[Military%]]&lt;TblMili[[#This Row],[Draftrate]],ROUND(TblPop[[#This Row],[Peasants]]*Constants!$B$55,0), 0) * IF(AND(TblMagic[[#This Row],[Active DnD]]&lt;=12,TblMagic[[#This Row],[Active DnD]]&gt;6),1.5,1),0)</f>
        <v>5</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46104.708333333161</v>
      </c>
      <c r="C75" s="94">
        <f ca="1">OFFSET(TblPop[[#This Row],[Peasants]],-1,0)+OFFSET(TblPop[[#This Row],[Net Peasant]],-1,0)+TblMili[[#This Row],[Release Draft]]</f>
        <v>492</v>
      </c>
      <c r="D75" s="94">
        <f ca="1">TblMili[[#This Row],[Military]]</f>
        <v>584</v>
      </c>
      <c r="E75" s="94">
        <f ca="1">TblMili[[#This Row],[Draftees]]</f>
        <v>584</v>
      </c>
      <c r="F75" s="94">
        <f ca="1">TblPop[[#This Row],[Peasants]]+TblPop[[#This Row],[Military]]</f>
        <v>1076</v>
      </c>
      <c r="G75" s="139">
        <f ca="1">TblPop[[#This Row],[Military]]/TblPop[[#This Row],[Total]]</f>
        <v>0.54275092936802971</v>
      </c>
      <c r="H75" s="140">
        <f ca="1">MIN(TblPop[[#This Row],[Peasants]],TblPop[[#This Row],[Jobs]])</f>
        <v>492</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584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1076</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5" s="94">
        <f ca="1">MAX(-5%*TblPop[[#This Row],[Peasants]]-TblPop[[#This Row],[Draft Growth]],MIN(OFFSET(TblPop[[#This Row],[Net max]],1,0)-TblPop[[#This Row],[Peasants]]-TblPop[[#This Row],[Military]]-TblPop[[#This Row],[Draft Growth]],TblPop[[#This Row],[Modded Birth]]-TblPop[[#This Row],[Draft Growth]]))</f>
        <v>-5</v>
      </c>
      <c r="X75" s="94">
        <f ca="1">ROUND(TblPop[[#This Row],[Raw Birth]]*(1+TblPop[[#This Row],[Growth]]),0)</f>
        <v>15</v>
      </c>
      <c r="Y75" s="94">
        <f ca="1">(TblPop[[#This Row],[Peasants]]-TblPop[[#This Row],[Draft Growth]])*raw_pop_growth</f>
        <v>14.61</v>
      </c>
      <c r="Z75" s="94">
        <f ca="1">ROUND(IF(TblPop[[#This Row],[Military%]]&lt;TblMili[[#This Row],[Draftrate]],ROUND(TblPop[[#This Row],[Peasants]]*Constants!$B$55,0), 0) * IF(AND(TblMagic[[#This Row],[Active DnD]]&lt;=12,TblMagic[[#This Row],[Active DnD]]&gt;6),1.5,1),0)</f>
        <v>5</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46104.749999999825</v>
      </c>
      <c r="C76" s="94">
        <f ca="1">OFFSET(TblPop[[#This Row],[Peasants]],-1,0)+OFFSET(TblPop[[#This Row],[Net Peasant]],-1,0)+TblMili[[#This Row],[Release Draft]]</f>
        <v>487</v>
      </c>
      <c r="D76" s="94">
        <f ca="1">TblMili[[#This Row],[Military]]</f>
        <v>589</v>
      </c>
      <c r="E76" s="94">
        <f ca="1">TblMili[[#This Row],[Draftees]]</f>
        <v>589</v>
      </c>
      <c r="F76" s="94">
        <f ca="1">TblPop[[#This Row],[Peasants]]+TblPop[[#This Row],[Military]]</f>
        <v>1076</v>
      </c>
      <c r="G76" s="139">
        <f ca="1">TblPop[[#This Row],[Military]]/TblPop[[#This Row],[Total]]</f>
        <v>0.54739776951672858</v>
      </c>
      <c r="H76" s="140">
        <f ca="1">MIN(TblPop[[#This Row],[Peasants]],TblPop[[#This Row],[Jobs]])</f>
        <v>487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589</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1076</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6" s="94">
        <f ca="1">MAX(-5%*TblPop[[#This Row],[Peasants]]-TblPop[[#This Row],[Draft Growth]],MIN(OFFSET(TblPop[[#This Row],[Net max]],1,0)-TblPop[[#This Row],[Peasants]]-TblPop[[#This Row],[Military]]-TblPop[[#This Row],[Draft Growth]],TblPop[[#This Row],[Modded Birth]]-TblPop[[#This Row],[Draft Growth]]))</f>
        <v>-5</v>
      </c>
      <c r="X76" s="94">
        <f ca="1">ROUND(TblPop[[#This Row],[Raw Birth]]*(1+TblPop[[#This Row],[Growth]]),0)</f>
        <v>14</v>
      </c>
      <c r="Y76" s="94">
        <f ca="1">(TblPop[[#This Row],[Peasants]]-TblPop[[#This Row],[Draft Growth]])*raw_pop_growth</f>
        <v>14.459999999999999</v>
      </c>
      <c r="Z76" s="94">
        <f ca="1">ROUND(IF(TblPop[[#This Row],[Military%]]&lt;TblMili[[#This Row],[Draftrate]],ROUND(TblPop[[#This Row],[Peasants]]*Constants!$B$55,0), 0) * IF(AND(TblMagic[[#This Row],[Active DnD]]&lt;=12,TblMagic[[#This Row],[Active DnD]]&gt;6),1.5,1),0)</f>
        <v>5</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46104.79166666649</v>
      </c>
      <c r="C77" s="94">
        <f ca="1">OFFSET(TblPop[[#This Row],[Peasants]],-1,0)+OFFSET(TblPop[[#This Row],[Net Peasant]],-1,0)+TblMili[[#This Row],[Release Draft]]</f>
        <v>482</v>
      </c>
      <c r="D77" s="94">
        <f ca="1">TblMili[[#This Row],[Military]]</f>
        <v>594</v>
      </c>
      <c r="E77" s="94">
        <f ca="1">TblMili[[#This Row],[Draftees]]</f>
        <v>594</v>
      </c>
      <c r="F77" s="94">
        <f ca="1">TblPop[[#This Row],[Peasants]]+TblPop[[#This Row],[Military]]</f>
        <v>1076</v>
      </c>
      <c r="G77" s="139">
        <f ca="1">TblPop[[#This Row],[Military]]/TblPop[[#This Row],[Total]]</f>
        <v>0.55204460966542745</v>
      </c>
      <c r="H77" s="140">
        <f ca="1">MIN(TblPop[[#This Row],[Peasants]],TblPop[[#This Row],[Jobs]])</f>
        <v>482</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594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1076</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7" s="94">
        <f ca="1">MAX(-5%*TblPop[[#This Row],[Peasants]]-TblPop[[#This Row],[Draft Growth]],MIN(OFFSET(TblPop[[#This Row],[Net max]],1,0)-TblPop[[#This Row],[Peasants]]-TblPop[[#This Row],[Military]]-TblPop[[#This Row],[Draft Growth]],TblPop[[#This Row],[Modded Birth]]-TblPop[[#This Row],[Draft Growth]]))</f>
        <v>-5</v>
      </c>
      <c r="X77" s="94">
        <f ca="1">ROUND(TblPop[[#This Row],[Raw Birth]]*(1+TblPop[[#This Row],[Growth]]),0)</f>
        <v>14</v>
      </c>
      <c r="Y77" s="94">
        <f ca="1">(TblPop[[#This Row],[Peasants]]-TblPop[[#This Row],[Draft Growth]])*raw_pop_growth</f>
        <v>14.309999999999999</v>
      </c>
      <c r="Z77" s="94">
        <f ca="1">ROUND(IF(TblPop[[#This Row],[Military%]]&lt;TblMili[[#This Row],[Draftrate]],ROUND(TblPop[[#This Row],[Peasants]]*Constants!$B$55,0), 0) * IF(AND(TblMagic[[#This Row],[Active DnD]]&lt;=12,TblMagic[[#This Row],[Active DnD]]&gt;6),1.5,1),0)</f>
        <v>5</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46104.833333333154</v>
      </c>
      <c r="C78" s="94">
        <f ca="1">OFFSET(TblPop[[#This Row],[Peasants]],-1,0)+OFFSET(TblPop[[#This Row],[Net Peasant]],-1,0)+TblMili[[#This Row],[Release Draft]]</f>
        <v>477</v>
      </c>
      <c r="D78" s="94">
        <f ca="1">TblMili[[#This Row],[Military]]</f>
        <v>599</v>
      </c>
      <c r="E78" s="94">
        <f ca="1">TblMili[[#This Row],[Draftees]]</f>
        <v>599</v>
      </c>
      <c r="F78" s="94">
        <f ca="1">TblPop[[#This Row],[Peasants]]+TblPop[[#This Row],[Military]]</f>
        <v>1076</v>
      </c>
      <c r="G78" s="139">
        <f ca="1">TblPop[[#This Row],[Military]]/TblPop[[#This Row],[Total]]</f>
        <v>0.55669144981412644</v>
      </c>
      <c r="H78" s="140">
        <f ca="1">MIN(TblPop[[#This Row],[Peasants]],TblPop[[#This Row],[Jobs]])</f>
        <v>477</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599</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1076</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8" s="94">
        <f ca="1">MAX(-5%*TblPop[[#This Row],[Peasants]]-TblPop[[#This Row],[Draft Growth]],MIN(OFFSET(TblPop[[#This Row],[Net max]],1,0)-TblPop[[#This Row],[Peasants]]-TblPop[[#This Row],[Military]]-TblPop[[#This Row],[Draft Growth]],TblPop[[#This Row],[Modded Birth]]-TblPop[[#This Row],[Draft Growth]]))</f>
        <v>-5</v>
      </c>
      <c r="X78" s="94">
        <f ca="1">ROUND(TblPop[[#This Row],[Raw Birth]]*(1+TblPop[[#This Row],[Growth]]),0)</f>
        <v>14</v>
      </c>
      <c r="Y78" s="94">
        <f ca="1">(TblPop[[#This Row],[Peasants]]-TblPop[[#This Row],[Draft Growth]])*raw_pop_growth</f>
        <v>14.16</v>
      </c>
      <c r="Z78" s="94">
        <f ca="1">ROUND(IF(TblPop[[#This Row],[Military%]]&lt;TblMili[[#This Row],[Draftrate]],ROUND(TblPop[[#This Row],[Peasants]]*Constants!$B$55,0), 0) * IF(AND(TblMagic[[#This Row],[Active DnD]]&lt;=12,TblMagic[[#This Row],[Active DnD]]&gt;6),1.5,1),0)</f>
        <v>5</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46104.874999999818</v>
      </c>
      <c r="C79" s="94">
        <f ca="1">OFFSET(TblPop[[#This Row],[Peasants]],-1,0)+OFFSET(TblPop[[#This Row],[Net Peasant]],-1,0)+TblMili[[#This Row],[Release Draft]]</f>
        <v>472</v>
      </c>
      <c r="D79" s="94">
        <f ca="1">TblMili[[#This Row],[Military]]</f>
        <v>604</v>
      </c>
      <c r="E79" s="94">
        <f ca="1">TblMili[[#This Row],[Draftees]]</f>
        <v>604</v>
      </c>
      <c r="F79" s="94">
        <f ca="1">TblPop[[#This Row],[Peasants]]+TblPop[[#This Row],[Military]]</f>
        <v>1076</v>
      </c>
      <c r="G79" s="139">
        <f ca="1">TblPop[[#This Row],[Military]]/TblPop[[#This Row],[Total]]</f>
        <v>0.56133828996282531</v>
      </c>
      <c r="H79" s="140">
        <f ca="1">MIN(TblPop[[#This Row],[Peasants]],TblPop[[#This Row],[Jobs]])</f>
        <v>472</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604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1076</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9" s="94">
        <f ca="1">MAX(-5%*TblPop[[#This Row],[Peasants]]-TblPop[[#This Row],[Draft Growth]],MIN(OFFSET(TblPop[[#This Row],[Net max]],1,0)-TblPop[[#This Row],[Peasants]]-TblPop[[#This Row],[Military]]-TblPop[[#This Row],[Draft Growth]],TblPop[[#This Row],[Modded Birth]]-TblPop[[#This Row],[Draft Growth]]))</f>
        <v>-5</v>
      </c>
      <c r="X79" s="94">
        <f ca="1">ROUND(TblPop[[#This Row],[Raw Birth]]*(1+TblPop[[#This Row],[Growth]]),0)</f>
        <v>14</v>
      </c>
      <c r="Y79" s="94">
        <f ca="1">(TblPop[[#This Row],[Peasants]]-TblPop[[#This Row],[Draft Growth]])*raw_pop_growth</f>
        <v>14.01</v>
      </c>
      <c r="Z79" s="94">
        <f ca="1">ROUND(IF(TblPop[[#This Row],[Military%]]&lt;TblMili[[#This Row],[Draftrate]],ROUND(TblPop[[#This Row],[Peasants]]*Constants!$B$55,0), 0) * IF(AND(TblMagic[[#This Row],[Active DnD]]&lt;=12,TblMagic[[#This Row],[Active DnD]]&gt;6),1.5,1),0)</f>
        <v>5</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46104.916666666482</v>
      </c>
      <c r="C80" s="94">
        <f ca="1">OFFSET(TblPop[[#This Row],[Peasants]],-1,0)+OFFSET(TblPop[[#This Row],[Net Peasant]],-1,0)+TblMili[[#This Row],[Release Draft]]</f>
        <v>467</v>
      </c>
      <c r="D80" s="94">
        <f ca="1">TblMili[[#This Row],[Military]]</f>
        <v>609</v>
      </c>
      <c r="E80" s="94">
        <f ca="1">TblMili[[#This Row],[Draftees]]</f>
        <v>609</v>
      </c>
      <c r="F80" s="94">
        <f ca="1">TblPop[[#This Row],[Peasants]]+TblPop[[#This Row],[Military]]</f>
        <v>1076</v>
      </c>
      <c r="G80" s="139">
        <f ca="1">TblPop[[#This Row],[Military]]/TblPop[[#This Row],[Total]]</f>
        <v>0.56598513011152418</v>
      </c>
      <c r="H80" s="140">
        <f ca="1">MIN(TblPop[[#This Row],[Peasants]],TblPop[[#This Row],[Jobs]])</f>
        <v>467</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609</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1076</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0" s="94">
        <f ca="1">MAX(-5%*TblPop[[#This Row],[Peasants]]-TblPop[[#This Row],[Draft Growth]],MIN(OFFSET(TblPop[[#This Row],[Net max]],1,0)-TblPop[[#This Row],[Peasants]]-TblPop[[#This Row],[Military]]-TblPop[[#This Row],[Draft Growth]],TblPop[[#This Row],[Modded Birth]]-TblPop[[#This Row],[Draft Growth]]))</f>
        <v>-5</v>
      </c>
      <c r="X80" s="94">
        <f ca="1">ROUND(TblPop[[#This Row],[Raw Birth]]*(1+TblPop[[#This Row],[Growth]]),0)</f>
        <v>14</v>
      </c>
      <c r="Y80" s="94">
        <f ca="1">(TblPop[[#This Row],[Peasants]]-TblPop[[#This Row],[Draft Growth]])*raw_pop_growth</f>
        <v>13.86</v>
      </c>
      <c r="Z80" s="94">
        <f ca="1">ROUND(IF(TblPop[[#This Row],[Military%]]&lt;TblMili[[#This Row],[Draftrate]],ROUND(TblPop[[#This Row],[Peasants]]*Constants!$B$55,0), 0) * IF(AND(TblMagic[[#This Row],[Active DnD]]&lt;=12,TblMagic[[#This Row],[Active DnD]]&gt;6),1.5,1),0)</f>
        <v>5</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46104.958333333147</v>
      </c>
      <c r="C81" s="94">
        <f ca="1">OFFSET(TblPop[[#This Row],[Peasants]],-1,0)+OFFSET(TblPop[[#This Row],[Net Peasant]],-1,0)+TblMili[[#This Row],[Release Draft]]</f>
        <v>462</v>
      </c>
      <c r="D81" s="94">
        <f ca="1">TblMili[[#This Row],[Military]]</f>
        <v>614</v>
      </c>
      <c r="E81" s="94">
        <f ca="1">TblMili[[#This Row],[Draftees]]</f>
        <v>614</v>
      </c>
      <c r="F81" s="94">
        <f ca="1">TblPop[[#This Row],[Peasants]]+TblPop[[#This Row],[Military]]</f>
        <v>1076</v>
      </c>
      <c r="G81" s="139">
        <f ca="1">TblPop[[#This Row],[Military]]/TblPop[[#This Row],[Total]]</f>
        <v>0.57063197026022305</v>
      </c>
      <c r="H81" s="140">
        <f ca="1">MIN(TblPop[[#This Row],[Peasants]],TblPop[[#This Row],[Jobs]])</f>
        <v>462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614</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1076</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1" s="94">
        <f ca="1">MAX(-5%*TblPop[[#This Row],[Peasants]]-TblPop[[#This Row],[Draft Growth]],MIN(OFFSET(TblPop[[#This Row],[Net max]],1,0)-TblPop[[#This Row],[Peasants]]-TblPop[[#This Row],[Military]]-TblPop[[#This Row],[Draft Growth]],TblPop[[#This Row],[Modded Birth]]-TblPop[[#This Row],[Draft Growth]]))</f>
        <v>-5</v>
      </c>
      <c r="X81" s="94">
        <f ca="1">ROUND(TblPop[[#This Row],[Raw Birth]]*(1+TblPop[[#This Row],[Growth]]),0)</f>
        <v>14</v>
      </c>
      <c r="Y81" s="94">
        <f ca="1">(TblPop[[#This Row],[Peasants]]-TblPop[[#This Row],[Draft Growth]])*raw_pop_growth</f>
        <v>13.709999999999999</v>
      </c>
      <c r="Z81" s="94">
        <f ca="1">ROUND(IF(TblPop[[#This Row],[Military%]]&lt;TblMili[[#This Row],[Draftrate]],ROUND(TblPop[[#This Row],[Peasants]]*Constants!$B$55,0), 0) * IF(AND(TblMagic[[#This Row],[Active DnD]]&lt;=12,TblMagic[[#This Row],[Active DnD]]&gt;6),1.5,1),0)</f>
        <v>5</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46104.999999999811</v>
      </c>
      <c r="C82" s="94">
        <f ca="1">OFFSET(TblPop[[#This Row],[Peasants]],-1,0)+OFFSET(TblPop[[#This Row],[Net Peasant]],-1,0)+TblMili[[#This Row],[Release Draft]]</f>
        <v>457</v>
      </c>
      <c r="D82" s="94">
        <f ca="1">TblMili[[#This Row],[Military]]</f>
        <v>619</v>
      </c>
      <c r="E82" s="94">
        <f ca="1">TblMili[[#This Row],[Draftees]]</f>
        <v>619</v>
      </c>
      <c r="F82" s="94">
        <f ca="1">TblPop[[#This Row],[Peasants]]+TblPop[[#This Row],[Military]]</f>
        <v>1076</v>
      </c>
      <c r="G82" s="139">
        <f ca="1">TblPop[[#This Row],[Military]]/TblPop[[#This Row],[Total]]</f>
        <v>0.57527881040892193</v>
      </c>
      <c r="H82" s="140">
        <f ca="1">MIN(TblPop[[#This Row],[Peasants]],TblPop[[#This Row],[Jobs]])</f>
        <v>457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619</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1076</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2" s="94">
        <f ca="1">MAX(-5%*TblPop[[#This Row],[Peasants]]-TblPop[[#This Row],[Draft Growth]],MIN(OFFSET(TblPop[[#This Row],[Net max]],1,0)-TblPop[[#This Row],[Peasants]]-TblPop[[#This Row],[Military]]-TblPop[[#This Row],[Draft Growth]],TblPop[[#This Row],[Modded Birth]]-TblPop[[#This Row],[Draft Growth]]))</f>
        <v>-5</v>
      </c>
      <c r="X82" s="94">
        <f ca="1">ROUND(TblPop[[#This Row],[Raw Birth]]*(1+TblPop[[#This Row],[Growth]]),0)</f>
        <v>14</v>
      </c>
      <c r="Y82" s="94">
        <f ca="1">(TblPop[[#This Row],[Peasants]]-TblPop[[#This Row],[Draft Growth]])*raw_pop_growth</f>
        <v>13.559999999999999</v>
      </c>
      <c r="Z82" s="94">
        <f ca="1">ROUND(IF(TblPop[[#This Row],[Military%]]&lt;TblMili[[#This Row],[Draftrate]],ROUND(TblPop[[#This Row],[Peasants]]*Constants!$B$55,0), 0) * IF(AND(TblMagic[[#This Row],[Active DnD]]&lt;=12,TblMagic[[#This Row],[Active DnD]]&gt;6),1.5,1),0)</f>
        <v>5</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46105.041666666475</v>
      </c>
      <c r="C83" s="94">
        <f ca="1">OFFSET(TblPop[[#This Row],[Peasants]],-1,0)+OFFSET(TblPop[[#This Row],[Net Peasant]],-1,0)+TblMili[[#This Row],[Release Draft]]</f>
        <v>452</v>
      </c>
      <c r="D83" s="94">
        <f ca="1">TblMili[[#This Row],[Military]]</f>
        <v>624</v>
      </c>
      <c r="E83" s="94">
        <f ca="1">TblMili[[#This Row],[Draftees]]</f>
        <v>624</v>
      </c>
      <c r="F83" s="94">
        <f ca="1">TblPop[[#This Row],[Peasants]]+TblPop[[#This Row],[Military]]</f>
        <v>1076</v>
      </c>
      <c r="G83" s="139">
        <f ca="1">TblPop[[#This Row],[Military]]/TblPop[[#This Row],[Total]]</f>
        <v>0.5799256505576208</v>
      </c>
      <c r="H83" s="140">
        <f ca="1">MIN(TblPop[[#This Row],[Peasants]],TblPop[[#This Row],[Jobs]])</f>
        <v>452</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624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1076</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3" s="94">
        <f ca="1">MAX(-5%*TblPop[[#This Row],[Peasants]]-TblPop[[#This Row],[Draft Growth]],MIN(OFFSET(TblPop[[#This Row],[Net max]],1,0)-TblPop[[#This Row],[Peasants]]-TblPop[[#This Row],[Military]]-TblPop[[#This Row],[Draft Growth]],TblPop[[#This Row],[Modded Birth]]-TblPop[[#This Row],[Draft Growth]]))</f>
        <v>-5</v>
      </c>
      <c r="X83" s="94">
        <f ca="1">ROUND(TblPop[[#This Row],[Raw Birth]]*(1+TblPop[[#This Row],[Growth]]),0)</f>
        <v>13</v>
      </c>
      <c r="Y83" s="94">
        <f ca="1">(TblPop[[#This Row],[Peasants]]-TblPop[[#This Row],[Draft Growth]])*raw_pop_growth</f>
        <v>13.41</v>
      </c>
      <c r="Z83" s="94">
        <f ca="1">ROUND(IF(TblPop[[#This Row],[Military%]]&lt;TblMili[[#This Row],[Draftrate]],ROUND(TblPop[[#This Row],[Peasants]]*Constants!$B$55,0), 0) * IF(AND(TblMagic[[#This Row],[Active DnD]]&lt;=12,TblMagic[[#This Row],[Active DnD]]&gt;6),1.5,1),0)</f>
        <v>5</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46105.083333333139</v>
      </c>
      <c r="C84" s="94">
        <f ca="1">OFFSET(TblPop[[#This Row],[Peasants]],-1,0)+OFFSET(TblPop[[#This Row],[Net Peasant]],-1,0)+TblMili[[#This Row],[Release Draft]]</f>
        <v>447</v>
      </c>
      <c r="D84" s="94">
        <f ca="1">TblMili[[#This Row],[Military]]</f>
        <v>629</v>
      </c>
      <c r="E84" s="94">
        <f ca="1">TblMili[[#This Row],[Draftees]]</f>
        <v>629</v>
      </c>
      <c r="F84" s="94">
        <f ca="1">TblPop[[#This Row],[Peasants]]+TblPop[[#This Row],[Military]]</f>
        <v>1076</v>
      </c>
      <c r="G84" s="139">
        <f ca="1">TblPop[[#This Row],[Military]]/TblPop[[#This Row],[Total]]</f>
        <v>0.58457249070631967</v>
      </c>
      <c r="H84" s="140">
        <f ca="1">MIN(TblPop[[#This Row],[Peasants]],TblPop[[#This Row],[Jobs]])</f>
        <v>447</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629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1076</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4" s="94">
        <f ca="1">MAX(-5%*TblPop[[#This Row],[Peasants]]-TblPop[[#This Row],[Draft Growth]],MIN(OFFSET(TblPop[[#This Row],[Net max]],1,0)-TblPop[[#This Row],[Peasants]]-TblPop[[#This Row],[Military]]-TblPop[[#This Row],[Draft Growth]],TblPop[[#This Row],[Modded Birth]]-TblPop[[#This Row],[Draft Growth]]))</f>
        <v>-4</v>
      </c>
      <c r="X84" s="94">
        <f ca="1">ROUND(TblPop[[#This Row],[Raw Birth]]*(1+TblPop[[#This Row],[Growth]]),0)</f>
        <v>13</v>
      </c>
      <c r="Y84" s="94">
        <f ca="1">(TblPop[[#This Row],[Peasants]]-TblPop[[#This Row],[Draft Growth]])*raw_pop_growth</f>
        <v>13.29</v>
      </c>
      <c r="Z84" s="94">
        <f ca="1">ROUND(IF(TblPop[[#This Row],[Military%]]&lt;TblMili[[#This Row],[Draftrate]],ROUND(TblPop[[#This Row],[Peasants]]*Constants!$B$55,0), 0) * IF(AND(TblMagic[[#This Row],[Active DnD]]&lt;=12,TblMagic[[#This Row],[Active DnD]]&gt;6),1.5,1),0)</f>
        <v>4</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46105.124999999804</v>
      </c>
      <c r="C85" s="94">
        <f ca="1">OFFSET(TblPop[[#This Row],[Peasants]],-1,0)+OFFSET(TblPop[[#This Row],[Net Peasant]],-1,0)+TblMili[[#This Row],[Release Draft]]</f>
        <v>443</v>
      </c>
      <c r="D85" s="94">
        <f ca="1">TblMili[[#This Row],[Military]]</f>
        <v>633</v>
      </c>
      <c r="E85" s="94">
        <f ca="1">TblMili[[#This Row],[Draftees]]</f>
        <v>633</v>
      </c>
      <c r="F85" s="94">
        <f ca="1">TblPop[[#This Row],[Peasants]]+TblPop[[#This Row],[Military]]</f>
        <v>1076</v>
      </c>
      <c r="G85" s="139">
        <f ca="1">TblPop[[#This Row],[Military]]/TblPop[[#This Row],[Total]]</f>
        <v>0.58828996282527879</v>
      </c>
      <c r="H85" s="140">
        <f ca="1">MIN(TblPop[[#This Row],[Peasants]],TblPop[[#This Row],[Jobs]])</f>
        <v>443</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633</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1076</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5" s="94">
        <f ca="1">MAX(-5%*TblPop[[#This Row],[Peasants]]-TblPop[[#This Row],[Draft Growth]],MIN(OFFSET(TblPop[[#This Row],[Net max]],1,0)-TblPop[[#This Row],[Peasants]]-TblPop[[#This Row],[Military]]-TblPop[[#This Row],[Draft Growth]],TblPop[[#This Row],[Modded Birth]]-TblPop[[#This Row],[Draft Growth]]))</f>
        <v>-4</v>
      </c>
      <c r="X85" s="94">
        <f ca="1">ROUND(TblPop[[#This Row],[Raw Birth]]*(1+TblPop[[#This Row],[Growth]]),0)</f>
        <v>13</v>
      </c>
      <c r="Y85" s="94">
        <f ca="1">(TblPop[[#This Row],[Peasants]]-TblPop[[#This Row],[Draft Growth]])*raw_pop_growth</f>
        <v>13.17</v>
      </c>
      <c r="Z85" s="94">
        <f ca="1">ROUND(IF(TblPop[[#This Row],[Military%]]&lt;TblMili[[#This Row],[Draftrate]],ROUND(TblPop[[#This Row],[Peasants]]*Constants!$B$55,0), 0) * IF(AND(TblMagic[[#This Row],[Active DnD]]&lt;=12,TblMagic[[#This Row],[Active DnD]]&gt;6),1.5,1),0)</f>
        <v>4</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46105.166666666468</v>
      </c>
      <c r="C86" s="94">
        <f ca="1">OFFSET(TblPop[[#This Row],[Peasants]],-1,0)+OFFSET(TblPop[[#This Row],[Net Peasant]],-1,0)+TblMili[[#This Row],[Release Draft]]</f>
        <v>439</v>
      </c>
      <c r="D86" s="94">
        <f ca="1">TblMili[[#This Row],[Military]]</f>
        <v>637</v>
      </c>
      <c r="E86" s="94">
        <f ca="1">TblMili[[#This Row],[Draftees]]</f>
        <v>637</v>
      </c>
      <c r="F86" s="94">
        <f ca="1">TblPop[[#This Row],[Peasants]]+TblPop[[#This Row],[Military]]</f>
        <v>1076</v>
      </c>
      <c r="G86" s="139">
        <f ca="1">TblPop[[#This Row],[Military]]/TblPop[[#This Row],[Total]]</f>
        <v>0.59200743494423791</v>
      </c>
      <c r="H86" s="140">
        <f ca="1">MIN(TblPop[[#This Row],[Peasants]],TblPop[[#This Row],[Jobs]])</f>
        <v>439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637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1076</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6" s="94">
        <f ca="1">MAX(-5%*TblPop[[#This Row],[Peasants]]-TblPop[[#This Row],[Draft Growth]],MIN(OFFSET(TblPop[[#This Row],[Net max]],1,0)-TblPop[[#This Row],[Peasants]]-TblPop[[#This Row],[Military]]-TblPop[[#This Row],[Draft Growth]],TblPop[[#This Row],[Modded Birth]]-TblPop[[#This Row],[Draft Growth]]))</f>
        <v>-4</v>
      </c>
      <c r="X86" s="94">
        <f ca="1">ROUND(TblPop[[#This Row],[Raw Birth]]*(1+TblPop[[#This Row],[Growth]]),0)</f>
        <v>13</v>
      </c>
      <c r="Y86" s="94">
        <f ca="1">(TblPop[[#This Row],[Peasants]]-TblPop[[#This Row],[Draft Growth]])*raw_pop_growth</f>
        <v>13.049999999999999</v>
      </c>
      <c r="Z86" s="94">
        <f ca="1">ROUND(IF(TblPop[[#This Row],[Military%]]&lt;TblMili[[#This Row],[Draftrate]],ROUND(TblPop[[#This Row],[Peasants]]*Constants!$B$55,0), 0) * IF(AND(TblMagic[[#This Row],[Active DnD]]&lt;=12,TblMagic[[#This Row],[Active DnD]]&gt;6),1.5,1),0)</f>
        <v>4</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46105.208333333132</v>
      </c>
      <c r="C87" s="94">
        <f ca="1">OFFSET(TblPop[[#This Row],[Peasants]],-1,0)+OFFSET(TblPop[[#This Row],[Net Peasant]],-1,0)+TblMili[[#This Row],[Release Draft]]</f>
        <v>435</v>
      </c>
      <c r="D87" s="94">
        <f ca="1">TblMili[[#This Row],[Military]]</f>
        <v>641</v>
      </c>
      <c r="E87" s="94">
        <f ca="1">TblMili[[#This Row],[Draftees]]</f>
        <v>641</v>
      </c>
      <c r="F87" s="94">
        <f ca="1">TblPop[[#This Row],[Peasants]]+TblPop[[#This Row],[Military]]</f>
        <v>1076</v>
      </c>
      <c r="G87" s="139">
        <f ca="1">TblPop[[#This Row],[Military]]/TblPop[[#This Row],[Total]]</f>
        <v>0.59572490706319703</v>
      </c>
      <c r="H87" s="140">
        <f ca="1">MIN(TblPop[[#This Row],[Peasants]],TblPop[[#This Row],[Jobs]])</f>
        <v>435</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641</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1076</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7" s="94">
        <f ca="1">MAX(-5%*TblPop[[#This Row],[Peasants]]-TblPop[[#This Row],[Draft Growth]],MIN(OFFSET(TblPop[[#This Row],[Net max]],1,0)-TblPop[[#This Row],[Peasants]]-TblPop[[#This Row],[Military]]-TblPop[[#This Row],[Draft Growth]],TblPop[[#This Row],[Modded Birth]]-TblPop[[#This Row],[Draft Growth]]))</f>
        <v>-4</v>
      </c>
      <c r="X87" s="94">
        <f ca="1">ROUND(TblPop[[#This Row],[Raw Birth]]*(1+TblPop[[#This Row],[Growth]]),0)</f>
        <v>13</v>
      </c>
      <c r="Y87" s="94">
        <f ca="1">(TblPop[[#This Row],[Peasants]]-TblPop[[#This Row],[Draft Growth]])*raw_pop_growth</f>
        <v>12.93</v>
      </c>
      <c r="Z87" s="94">
        <f ca="1">ROUND(IF(TblPop[[#This Row],[Military%]]&lt;TblMili[[#This Row],[Draftrate]],ROUND(TblPop[[#This Row],[Peasants]]*Constants!$B$55,0), 0) * IF(AND(TblMagic[[#This Row],[Active DnD]]&lt;=12,TblMagic[[#This Row],[Active DnD]]&gt;6),1.5,1),0)</f>
        <v>4</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46105.249999999796</v>
      </c>
      <c r="C88" s="94">
        <f ca="1">OFFSET(TblPop[[#This Row],[Peasants]],-1,0)+OFFSET(TblPop[[#This Row],[Net Peasant]],-1,0)+TblMili[[#This Row],[Release Draft]]</f>
        <v>431</v>
      </c>
      <c r="D88" s="94">
        <f ca="1">TblMili[[#This Row],[Military]]</f>
        <v>645</v>
      </c>
      <c r="E88" s="94">
        <f ca="1">TblMili[[#This Row],[Draftees]]</f>
        <v>645</v>
      </c>
      <c r="F88" s="94">
        <f ca="1">TblPop[[#This Row],[Peasants]]+TblPop[[#This Row],[Military]]</f>
        <v>1076</v>
      </c>
      <c r="G88" s="139">
        <f ca="1">TblPop[[#This Row],[Military]]/TblPop[[#This Row],[Total]]</f>
        <v>0.59944237918215615</v>
      </c>
      <c r="H88" s="140">
        <f ca="1">MIN(TblPop[[#This Row],[Peasants]],TblPop[[#This Row],[Jobs]])</f>
        <v>431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645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1076</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8" s="94">
        <f ca="1">MAX(-5%*TblPop[[#This Row],[Peasants]]-TblPop[[#This Row],[Draft Growth]],MIN(OFFSET(TblPop[[#This Row],[Net max]],1,0)-TblPop[[#This Row],[Peasants]]-TblPop[[#This Row],[Military]]-TblPop[[#This Row],[Draft Growth]],TblPop[[#This Row],[Modded Birth]]-TblPop[[#This Row],[Draft Growth]]))</f>
        <v>-4</v>
      </c>
      <c r="X88" s="94">
        <f ca="1">ROUND(TblPop[[#This Row],[Raw Birth]]*(1+TblPop[[#This Row],[Growth]]),0)</f>
        <v>13</v>
      </c>
      <c r="Y88" s="94">
        <f ca="1">(TblPop[[#This Row],[Peasants]]-TblPop[[#This Row],[Draft Growth]])*raw_pop_growth</f>
        <v>12.809999999999999</v>
      </c>
      <c r="Z88" s="94">
        <f ca="1">ROUND(IF(TblPop[[#This Row],[Military%]]&lt;TblMili[[#This Row],[Draftrate]],ROUND(TblPop[[#This Row],[Peasants]]*Constants!$B$55,0), 0) * IF(AND(TblMagic[[#This Row],[Active DnD]]&lt;=12,TblMagic[[#This Row],[Active DnD]]&gt;6),1.5,1),0)</f>
        <v>4</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46105.291666666461</v>
      </c>
      <c r="C89" s="94">
        <f ca="1">OFFSET(TblPop[[#This Row],[Peasants]],-1,0)+OFFSET(TblPop[[#This Row],[Net Peasant]],-1,0)+TblMili[[#This Row],[Release Draft]]</f>
        <v>427</v>
      </c>
      <c r="D89" s="94">
        <f ca="1">TblMili[[#This Row],[Military]]</f>
        <v>649</v>
      </c>
      <c r="E89" s="94">
        <f ca="1">TblMili[[#This Row],[Draftees]]</f>
        <v>649</v>
      </c>
      <c r="F89" s="94">
        <f ca="1">TblPop[[#This Row],[Peasants]]+TblPop[[#This Row],[Military]]</f>
        <v>1076</v>
      </c>
      <c r="G89" s="139">
        <f ca="1">TblPop[[#This Row],[Military]]/TblPop[[#This Row],[Total]]</f>
        <v>0.60315985130111527</v>
      </c>
      <c r="H89" s="140">
        <f ca="1">MIN(TblPop[[#This Row],[Peasants]],TblPop[[#This Row],[Jobs]])</f>
        <v>427</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649</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1076</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9" s="94">
        <f ca="1">MAX(-5%*TblPop[[#This Row],[Peasants]]-TblPop[[#This Row],[Draft Growth]],MIN(OFFSET(TblPop[[#This Row],[Net max]],1,0)-TblPop[[#This Row],[Peasants]]-TblPop[[#This Row],[Military]]-TblPop[[#This Row],[Draft Growth]],TblPop[[#This Row],[Modded Birth]]-TblPop[[#This Row],[Draft Growth]]))</f>
        <v>-4</v>
      </c>
      <c r="X89" s="94">
        <f ca="1">ROUND(TblPop[[#This Row],[Raw Birth]]*(1+TblPop[[#This Row],[Growth]]),0)</f>
        <v>13</v>
      </c>
      <c r="Y89" s="94">
        <f ca="1">(TblPop[[#This Row],[Peasants]]-TblPop[[#This Row],[Draft Growth]])*raw_pop_growth</f>
        <v>12.69</v>
      </c>
      <c r="Z89" s="94">
        <f ca="1">ROUND(IF(TblPop[[#This Row],[Military%]]&lt;TblMili[[#This Row],[Draftrate]],ROUND(TblPop[[#This Row],[Peasants]]*Constants!$B$55,0), 0) * IF(AND(TblMagic[[#This Row],[Active DnD]]&lt;=12,TblMagic[[#This Row],[Active DnD]]&gt;6),1.5,1),0)</f>
        <v>4</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46105.333333333125</v>
      </c>
      <c r="C90" s="94">
        <f ca="1">OFFSET(TblPop[[#This Row],[Peasants]],-1,0)+OFFSET(TblPop[[#This Row],[Net Peasant]],-1,0)+TblMili[[#This Row],[Release Draft]]</f>
        <v>423</v>
      </c>
      <c r="D90" s="94">
        <f ca="1">TblMili[[#This Row],[Military]]</f>
        <v>653</v>
      </c>
      <c r="E90" s="94">
        <f ca="1">TblMili[[#This Row],[Draftees]]</f>
        <v>653</v>
      </c>
      <c r="F90" s="94">
        <f ca="1">TblPop[[#This Row],[Peasants]]+TblPop[[#This Row],[Military]]</f>
        <v>1076</v>
      </c>
      <c r="G90" s="139">
        <f ca="1">TblPop[[#This Row],[Military]]/TblPop[[#This Row],[Total]]</f>
        <v>0.60687732342007439</v>
      </c>
      <c r="H90" s="140">
        <f ca="1">MIN(TblPop[[#This Row],[Peasants]],TblPop[[#This Row],[Jobs]])</f>
        <v>423</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653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1076</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0" s="94">
        <f ca="1">MAX(-5%*TblPop[[#This Row],[Peasants]]-TblPop[[#This Row],[Draft Growth]],MIN(OFFSET(TblPop[[#This Row],[Net max]],1,0)-TblPop[[#This Row],[Peasants]]-TblPop[[#This Row],[Military]]-TblPop[[#This Row],[Draft Growth]],TblPop[[#This Row],[Modded Birth]]-TblPop[[#This Row],[Draft Growth]]))</f>
        <v>-4</v>
      </c>
      <c r="X90" s="94">
        <f ca="1">ROUND(TblPop[[#This Row],[Raw Birth]]*(1+TblPop[[#This Row],[Growth]]),0)</f>
        <v>13</v>
      </c>
      <c r="Y90" s="94">
        <f ca="1">(TblPop[[#This Row],[Peasants]]-TblPop[[#This Row],[Draft Growth]])*raw_pop_growth</f>
        <v>12.57</v>
      </c>
      <c r="Z90" s="94">
        <f ca="1">ROUND(IF(TblPop[[#This Row],[Military%]]&lt;TblMili[[#This Row],[Draftrate]],ROUND(TblPop[[#This Row],[Peasants]]*Constants!$B$55,0), 0) * IF(AND(TblMagic[[#This Row],[Active DnD]]&lt;=12,TblMagic[[#This Row],[Active DnD]]&gt;6),1.5,1),0)</f>
        <v>4</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46105.374999999789</v>
      </c>
      <c r="C91" s="94">
        <f ca="1">OFFSET(TblPop[[#This Row],[Peasants]],-1,0)+OFFSET(TblPop[[#This Row],[Net Peasant]],-1,0)+TblMili[[#This Row],[Release Draft]]</f>
        <v>419</v>
      </c>
      <c r="D91" s="94">
        <f ca="1">TblMili[[#This Row],[Military]]</f>
        <v>657</v>
      </c>
      <c r="E91" s="94">
        <f ca="1">TblMili[[#This Row],[Draftees]]</f>
        <v>657</v>
      </c>
      <c r="F91" s="94">
        <f ca="1">TblPop[[#This Row],[Peasants]]+TblPop[[#This Row],[Military]]</f>
        <v>1076</v>
      </c>
      <c r="G91" s="139">
        <f ca="1">TblPop[[#This Row],[Military]]/TblPop[[#This Row],[Total]]</f>
        <v>0.61059479553903351</v>
      </c>
      <c r="H91" s="140">
        <f ca="1">MIN(TblPop[[#This Row],[Peasants]],TblPop[[#This Row],[Jobs]])</f>
        <v>419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657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1076</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1" s="94">
        <f ca="1">MAX(-5%*TblPop[[#This Row],[Peasants]]-TblPop[[#This Row],[Draft Growth]],MIN(OFFSET(TblPop[[#This Row],[Net max]],1,0)-TblPop[[#This Row],[Peasants]]-TblPop[[#This Row],[Military]]-TblPop[[#This Row],[Draft Growth]],TblPop[[#This Row],[Modded Birth]]-TblPop[[#This Row],[Draft Growth]]))</f>
        <v>-4</v>
      </c>
      <c r="X91" s="94">
        <f ca="1">ROUND(TblPop[[#This Row],[Raw Birth]]*(1+TblPop[[#This Row],[Growth]]),0)</f>
        <v>12</v>
      </c>
      <c r="Y91" s="94">
        <f ca="1">(TblPop[[#This Row],[Peasants]]-TblPop[[#This Row],[Draft Growth]])*raw_pop_growth</f>
        <v>12.45</v>
      </c>
      <c r="Z91" s="94">
        <f ca="1">ROUND(IF(TblPop[[#This Row],[Military%]]&lt;TblMili[[#This Row],[Draftrate]],ROUND(TblPop[[#This Row],[Peasants]]*Constants!$B$55,0), 0) * IF(AND(TblMagic[[#This Row],[Active DnD]]&lt;=12,TblMagic[[#This Row],[Active DnD]]&gt;6),1.5,1),0)</f>
        <v>4</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46105.416666666453</v>
      </c>
      <c r="C92" s="94">
        <f ca="1">OFFSET(TblPop[[#This Row],[Peasants]],-1,0)+OFFSET(TblPop[[#This Row],[Net Peasant]],-1,0)+TblMili[[#This Row],[Release Draft]]</f>
        <v>415</v>
      </c>
      <c r="D92" s="94">
        <f ca="1">TblMili[[#This Row],[Military]]</f>
        <v>661</v>
      </c>
      <c r="E92" s="94">
        <f ca="1">TblMili[[#This Row],[Draftees]]</f>
        <v>661</v>
      </c>
      <c r="F92" s="94">
        <f ca="1">TblPop[[#This Row],[Peasants]]+TblPop[[#This Row],[Military]]</f>
        <v>1076</v>
      </c>
      <c r="G92" s="139">
        <f ca="1">TblPop[[#This Row],[Military]]/TblPop[[#This Row],[Total]]</f>
        <v>0.61431226765799252</v>
      </c>
      <c r="H92" s="140">
        <f ca="1">MIN(TblPop[[#This Row],[Peasants]],TblPop[[#This Row],[Jobs]])</f>
        <v>415</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661</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1076</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2" s="94">
        <f ca="1">MAX(-5%*TblPop[[#This Row],[Peasants]]-TblPop[[#This Row],[Draft Growth]],MIN(OFFSET(TblPop[[#This Row],[Net max]],1,0)-TblPop[[#This Row],[Peasants]]-TblPop[[#This Row],[Military]]-TblPop[[#This Row],[Draft Growth]],TblPop[[#This Row],[Modded Birth]]-TblPop[[#This Row],[Draft Growth]]))</f>
        <v>-4</v>
      </c>
      <c r="X92" s="94">
        <f ca="1">ROUND(TblPop[[#This Row],[Raw Birth]]*(1+TblPop[[#This Row],[Growth]]),0)</f>
        <v>12</v>
      </c>
      <c r="Y92" s="94">
        <f ca="1">(TblPop[[#This Row],[Peasants]]-TblPop[[#This Row],[Draft Growth]])*raw_pop_growth</f>
        <v>12.33</v>
      </c>
      <c r="Z92" s="94">
        <f ca="1">ROUND(IF(TblPop[[#This Row],[Military%]]&lt;TblMili[[#This Row],[Draftrate]],ROUND(TblPop[[#This Row],[Peasants]]*Constants!$B$55,0), 0) * IF(AND(TblMagic[[#This Row],[Active DnD]]&lt;=12,TblMagic[[#This Row],[Active DnD]]&gt;6),1.5,1),0)</f>
        <v>4</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46105.458333333117</v>
      </c>
      <c r="C93" s="94">
        <f ca="1">OFFSET(TblPop[[#This Row],[Peasants]],-1,0)+OFFSET(TblPop[[#This Row],[Net Peasant]],-1,0)+TblMili[[#This Row],[Release Draft]]</f>
        <v>411</v>
      </c>
      <c r="D93" s="94">
        <f ca="1">TblMili[[#This Row],[Military]]</f>
        <v>665</v>
      </c>
      <c r="E93" s="94">
        <f ca="1">TblMili[[#This Row],[Draftees]]</f>
        <v>665</v>
      </c>
      <c r="F93" s="94">
        <f ca="1">TblPop[[#This Row],[Peasants]]+TblPop[[#This Row],[Military]]</f>
        <v>1076</v>
      </c>
      <c r="G93" s="139">
        <f ca="1">TblPop[[#This Row],[Military]]/TblPop[[#This Row],[Total]]</f>
        <v>0.61802973977695164</v>
      </c>
      <c r="H93" s="140">
        <f ca="1">MIN(TblPop[[#This Row],[Peasants]],TblPop[[#This Row],[Jobs]])</f>
        <v>411</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665</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1076</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3" s="94">
        <f ca="1">MAX(-5%*TblPop[[#This Row],[Peasants]]-TblPop[[#This Row],[Draft Growth]],MIN(OFFSET(TblPop[[#This Row],[Net max]],1,0)-TblPop[[#This Row],[Peasants]]-TblPop[[#This Row],[Military]]-TblPop[[#This Row],[Draft Growth]],TblPop[[#This Row],[Modded Birth]]-TblPop[[#This Row],[Draft Growth]]))</f>
        <v>-4</v>
      </c>
      <c r="X93" s="94">
        <f ca="1">ROUND(TblPop[[#This Row],[Raw Birth]]*(1+TblPop[[#This Row],[Growth]]),0)</f>
        <v>12</v>
      </c>
      <c r="Y93" s="94">
        <f ca="1">(TblPop[[#This Row],[Peasants]]-TblPop[[#This Row],[Draft Growth]])*raw_pop_growth</f>
        <v>12.209999999999999</v>
      </c>
      <c r="Z93" s="94">
        <f ca="1">ROUND(IF(TblPop[[#This Row],[Military%]]&lt;TblMili[[#This Row],[Draftrate]],ROUND(TblPop[[#This Row],[Peasants]]*Constants!$B$55,0), 0) * IF(AND(TblMagic[[#This Row],[Active DnD]]&lt;=12,TblMagic[[#This Row],[Active DnD]]&gt;6),1.5,1),0)</f>
        <v>4</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46105.499999999782</v>
      </c>
      <c r="C94" s="94">
        <f ca="1">OFFSET(TblPop[[#This Row],[Peasants]],-1,0)+OFFSET(TblPop[[#This Row],[Net Peasant]],-1,0)+TblMili[[#This Row],[Release Draft]]</f>
        <v>407</v>
      </c>
      <c r="D94" s="94">
        <f ca="1">TblMili[[#This Row],[Military]]</f>
        <v>669</v>
      </c>
      <c r="E94" s="94">
        <f ca="1">TblMili[[#This Row],[Draftees]]</f>
        <v>669</v>
      </c>
      <c r="F94" s="94">
        <f ca="1">TblPop[[#This Row],[Peasants]]+TblPop[[#This Row],[Military]]</f>
        <v>1076</v>
      </c>
      <c r="G94" s="139">
        <f ca="1">TblPop[[#This Row],[Military]]/TblPop[[#This Row],[Total]]</f>
        <v>0.62174721189591076</v>
      </c>
      <c r="H94" s="140">
        <f ca="1">MIN(TblPop[[#This Row],[Peasants]],TblPop[[#This Row],[Jobs]])</f>
        <v>407</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669</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1076</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4" s="94">
        <f ca="1">MAX(-5%*TblPop[[#This Row],[Peasants]]-TblPop[[#This Row],[Draft Growth]],MIN(OFFSET(TblPop[[#This Row],[Net max]],1,0)-TblPop[[#This Row],[Peasants]]-TblPop[[#This Row],[Military]]-TblPop[[#This Row],[Draft Growth]],TblPop[[#This Row],[Modded Birth]]-TblPop[[#This Row],[Draft Growth]]))</f>
        <v>-4</v>
      </c>
      <c r="X94" s="94">
        <f ca="1">ROUND(TblPop[[#This Row],[Raw Birth]]*(1+TblPop[[#This Row],[Growth]]),0)</f>
        <v>12</v>
      </c>
      <c r="Y94" s="94">
        <f ca="1">(TblPop[[#This Row],[Peasants]]-TblPop[[#This Row],[Draft Growth]])*raw_pop_growth</f>
        <v>12.09</v>
      </c>
      <c r="Z94" s="94">
        <f ca="1">ROUND(IF(TblPop[[#This Row],[Military%]]&lt;TblMili[[#This Row],[Draftrate]],ROUND(TblPop[[#This Row],[Peasants]]*Constants!$B$55,0), 0) * IF(AND(TblMagic[[#This Row],[Active DnD]]&lt;=12,TblMagic[[#This Row],[Active DnD]]&gt;6),1.5,1),0)</f>
        <v>4</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46105.541666666446</v>
      </c>
      <c r="C95" s="94">
        <f ca="1">OFFSET(TblPop[[#This Row],[Peasants]],-1,0)+OFFSET(TblPop[[#This Row],[Net Peasant]],-1,0)+TblMili[[#This Row],[Release Draft]]</f>
        <v>403</v>
      </c>
      <c r="D95" s="94">
        <f ca="1">TblMili[[#This Row],[Military]]</f>
        <v>673</v>
      </c>
      <c r="E95" s="94">
        <f ca="1">TblMili[[#This Row],[Draftees]]</f>
        <v>673</v>
      </c>
      <c r="F95" s="94">
        <f ca="1">TblPop[[#This Row],[Peasants]]+TblPop[[#This Row],[Military]]</f>
        <v>1076</v>
      </c>
      <c r="G95" s="139">
        <f ca="1">TblPop[[#This Row],[Military]]/TblPop[[#This Row],[Total]]</f>
        <v>0.62546468401486988</v>
      </c>
      <c r="H95" s="140">
        <f ca="1">MIN(TblPop[[#This Row],[Peasants]],TblPop[[#This Row],[Jobs]])</f>
        <v>403</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673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1076</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5" s="94">
        <f ca="1">MAX(-5%*TblPop[[#This Row],[Peasants]]-TblPop[[#This Row],[Draft Growth]],MIN(OFFSET(TblPop[[#This Row],[Net max]],1,0)-TblPop[[#This Row],[Peasants]]-TblPop[[#This Row],[Military]]-TblPop[[#This Row],[Draft Growth]],TblPop[[#This Row],[Modded Birth]]-TblPop[[#This Row],[Draft Growth]]))</f>
        <v>-4</v>
      </c>
      <c r="X95" s="94">
        <f ca="1">ROUND(TblPop[[#This Row],[Raw Birth]]*(1+TblPop[[#This Row],[Growth]]),0)</f>
        <v>12</v>
      </c>
      <c r="Y95" s="94">
        <f ca="1">(TblPop[[#This Row],[Peasants]]-TblPop[[#This Row],[Draft Growth]])*raw_pop_growth</f>
        <v>11.969999999999999</v>
      </c>
      <c r="Z95" s="94">
        <f ca="1">ROUND(IF(TblPop[[#This Row],[Military%]]&lt;TblMili[[#This Row],[Draftrate]],ROUND(TblPop[[#This Row],[Peasants]]*Constants!$B$55,0), 0) * IF(AND(TblMagic[[#This Row],[Active DnD]]&lt;=12,TblMagic[[#This Row],[Active DnD]]&gt;6),1.5,1),0)</f>
        <v>4</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46105.58333333311</v>
      </c>
      <c r="C96" s="94">
        <f ca="1">OFFSET(TblPop[[#This Row],[Peasants]],-1,0)+OFFSET(TblPop[[#This Row],[Net Peasant]],-1,0)+TblMili[[#This Row],[Release Draft]]</f>
        <v>399</v>
      </c>
      <c r="D96" s="94">
        <f ca="1">TblMili[[#This Row],[Military]]</f>
        <v>677</v>
      </c>
      <c r="E96" s="94">
        <f ca="1">TblMili[[#This Row],[Draftees]]</f>
        <v>677</v>
      </c>
      <c r="F96" s="94">
        <f ca="1">TblPop[[#This Row],[Peasants]]+TblPop[[#This Row],[Military]]</f>
        <v>1076</v>
      </c>
      <c r="G96" s="139">
        <f ca="1">TblPop[[#This Row],[Military]]/TblPop[[#This Row],[Total]]</f>
        <v>0.629182156133829</v>
      </c>
      <c r="H96" s="140">
        <f ca="1">MIN(TblPop[[#This Row],[Peasants]],TblPop[[#This Row],[Jobs]])</f>
        <v>399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677</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1076</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6" s="94">
        <f ca="1">MAX(-5%*TblPop[[#This Row],[Peasants]]-TblPop[[#This Row],[Draft Growth]],MIN(OFFSET(TblPop[[#This Row],[Net max]],1,0)-TblPop[[#This Row],[Peasants]]-TblPop[[#This Row],[Military]]-TblPop[[#This Row],[Draft Growth]],TblPop[[#This Row],[Modded Birth]]-TblPop[[#This Row],[Draft Growth]]))</f>
        <v>-4</v>
      </c>
      <c r="X96" s="94">
        <f ca="1">ROUND(TblPop[[#This Row],[Raw Birth]]*(1+TblPop[[#This Row],[Growth]]),0)</f>
        <v>12</v>
      </c>
      <c r="Y96" s="94">
        <f ca="1">(TblPop[[#This Row],[Peasants]]-TblPop[[#This Row],[Draft Growth]])*raw_pop_growth</f>
        <v>11.85</v>
      </c>
      <c r="Z96" s="94">
        <f ca="1">ROUND(IF(TblPop[[#This Row],[Military%]]&lt;TblMili[[#This Row],[Draftrate]],ROUND(TblPop[[#This Row],[Peasants]]*Constants!$B$55,0), 0) * IF(AND(TblMagic[[#This Row],[Active DnD]]&lt;=12,TblMagic[[#This Row],[Active DnD]]&gt;6),1.5,1),0)</f>
        <v>4</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46105.624999999774</v>
      </c>
      <c r="C97" s="94">
        <f ca="1">OFFSET(TblPop[[#This Row],[Peasants]],-1,0)+OFFSET(TblPop[[#This Row],[Net Peasant]],-1,0)+TblMili[[#This Row],[Release Draft]]</f>
        <v>395</v>
      </c>
      <c r="D97" s="94">
        <f ca="1">TblMili[[#This Row],[Military]]</f>
        <v>681</v>
      </c>
      <c r="E97" s="94">
        <f ca="1">TblMili[[#This Row],[Draftees]]</f>
        <v>681</v>
      </c>
      <c r="F97" s="94">
        <f ca="1">TblPop[[#This Row],[Peasants]]+TblPop[[#This Row],[Military]]</f>
        <v>1076</v>
      </c>
      <c r="G97" s="139">
        <f ca="1">TblPop[[#This Row],[Military]]/TblPop[[#This Row],[Total]]</f>
        <v>0.63289962825278812</v>
      </c>
      <c r="H97" s="140">
        <f ca="1">MIN(TblPop[[#This Row],[Peasants]],TblPop[[#This Row],[Jobs]])</f>
        <v>395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681</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1076</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7" s="94">
        <f ca="1">MAX(-5%*TblPop[[#This Row],[Peasants]]-TblPop[[#This Row],[Draft Growth]],MIN(OFFSET(TblPop[[#This Row],[Net max]],1,0)-TblPop[[#This Row],[Peasants]]-TblPop[[#This Row],[Military]]-TblPop[[#This Row],[Draft Growth]],TblPop[[#This Row],[Modded Birth]]-TblPop[[#This Row],[Draft Growth]]))</f>
        <v>-4</v>
      </c>
      <c r="X97" s="94">
        <f ca="1">ROUND(TblPop[[#This Row],[Raw Birth]]*(1+TblPop[[#This Row],[Growth]]),0)</f>
        <v>12</v>
      </c>
      <c r="Y97" s="94">
        <f ca="1">(TblPop[[#This Row],[Peasants]]-TblPop[[#This Row],[Draft Growth]])*raw_pop_growth</f>
        <v>11.73</v>
      </c>
      <c r="Z97" s="94">
        <f ca="1">ROUND(IF(TblPop[[#This Row],[Military%]]&lt;TblMili[[#This Row],[Draftrate]],ROUND(TblPop[[#This Row],[Peasants]]*Constants!$B$55,0), 0) * IF(AND(TblMagic[[#This Row],[Active DnD]]&lt;=12,TblMagic[[#This Row],[Active DnD]]&gt;6),1.5,1),0)</f>
        <v>4</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46105.666666666439</v>
      </c>
      <c r="C98" s="94">
        <f ca="1">OFFSET(TblPop[[#This Row],[Peasants]],-1,0)+OFFSET(TblPop[[#This Row],[Net Peasant]],-1,0)+TblMili[[#This Row],[Release Draft]]</f>
        <v>391</v>
      </c>
      <c r="D98" s="94">
        <f ca="1">TblMili[[#This Row],[Military]]</f>
        <v>685</v>
      </c>
      <c r="E98" s="94">
        <f ca="1">TblMili[[#This Row],[Draftees]]</f>
        <v>685</v>
      </c>
      <c r="F98" s="94">
        <f ca="1">TblPop[[#This Row],[Peasants]]+TblPop[[#This Row],[Military]]</f>
        <v>1076</v>
      </c>
      <c r="G98" s="139">
        <f ca="1">TblPop[[#This Row],[Military]]/TblPop[[#This Row],[Total]]</f>
        <v>0.63661710037174724</v>
      </c>
      <c r="H98" s="140">
        <f ca="1">MIN(TblPop[[#This Row],[Peasants]],TblPop[[#This Row],[Jobs]])</f>
        <v>391</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685</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1076</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8" s="94">
        <f ca="1">MAX(-5%*TblPop[[#This Row],[Peasants]]-TblPop[[#This Row],[Draft Growth]],MIN(OFFSET(TblPop[[#This Row],[Net max]],1,0)-TblPop[[#This Row],[Peasants]]-TblPop[[#This Row],[Military]]-TblPop[[#This Row],[Draft Growth]],TblPop[[#This Row],[Modded Birth]]-TblPop[[#This Row],[Draft Growth]]))</f>
        <v>-4</v>
      </c>
      <c r="X98" s="94">
        <f ca="1">ROUND(TblPop[[#This Row],[Raw Birth]]*(1+TblPop[[#This Row],[Growth]]),0)</f>
        <v>12</v>
      </c>
      <c r="Y98" s="94">
        <f ca="1">(TblPop[[#This Row],[Peasants]]-TblPop[[#This Row],[Draft Growth]])*raw_pop_growth</f>
        <v>11.61</v>
      </c>
      <c r="Z98" s="94">
        <f ca="1">ROUND(IF(TblPop[[#This Row],[Military%]]&lt;TblMili[[#This Row],[Draftrate]],ROUND(TblPop[[#This Row],[Peasants]]*Constants!$B$55,0), 0) * IF(AND(TblMagic[[#This Row],[Active DnD]]&lt;=12,TblMagic[[#This Row],[Active DnD]]&gt;6),1.5,1),0)</f>
        <v>4</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46105.708333333103</v>
      </c>
      <c r="C99" s="94">
        <f ca="1">OFFSET(TblPop[[#This Row],[Peasants]],-1,0)+OFFSET(TblPop[[#This Row],[Net Peasant]],-1,0)+TblMili[[#This Row],[Release Draft]]</f>
        <v>387</v>
      </c>
      <c r="D99" s="94">
        <f ca="1">TblMili[[#This Row],[Military]]</f>
        <v>689</v>
      </c>
      <c r="E99" s="94">
        <f ca="1">TblMili[[#This Row],[Draftees]]</f>
        <v>689</v>
      </c>
      <c r="F99" s="94">
        <f ca="1">TblPop[[#This Row],[Peasants]]+TblPop[[#This Row],[Military]]</f>
        <v>1076</v>
      </c>
      <c r="G99" s="139">
        <f ca="1">TblPop[[#This Row],[Military]]/TblPop[[#This Row],[Total]]</f>
        <v>0.64033457249070636</v>
      </c>
      <c r="H99" s="140">
        <f ca="1">MIN(TblPop[[#This Row],[Peasants]],TblPop[[#This Row],[Jobs]])</f>
        <v>387</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689</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1076</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9" s="94">
        <f ca="1">MAX(-5%*TblPop[[#This Row],[Peasants]]-TblPop[[#This Row],[Draft Growth]],MIN(OFFSET(TblPop[[#This Row],[Net max]],1,0)-TblPop[[#This Row],[Peasants]]-TblPop[[#This Row],[Military]]-TblPop[[#This Row],[Draft Growth]],TblPop[[#This Row],[Modded Birth]]-TblPop[[#This Row],[Draft Growth]]))</f>
        <v>-4</v>
      </c>
      <c r="X99" s="94">
        <f ca="1">ROUND(TblPop[[#This Row],[Raw Birth]]*(1+TblPop[[#This Row],[Growth]]),0)</f>
        <v>11</v>
      </c>
      <c r="Y99" s="94">
        <f ca="1">(TblPop[[#This Row],[Peasants]]-TblPop[[#This Row],[Draft Growth]])*raw_pop_growth</f>
        <v>11.49</v>
      </c>
      <c r="Z99" s="94">
        <f ca="1">ROUND(IF(TblPop[[#This Row],[Military%]]&lt;TblMili[[#This Row],[Draftrate]],ROUND(TblPop[[#This Row],[Peasants]]*Constants!$B$55,0), 0) * IF(AND(TblMagic[[#This Row],[Active DnD]]&lt;=12,TblMagic[[#This Row],[Active DnD]]&gt;6),1.5,1),0)</f>
        <v>4</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46105.749999999767</v>
      </c>
      <c r="C100" s="94">
        <f ca="1">OFFSET(TblPop[[#This Row],[Peasants]],-1,0)+OFFSET(TblPop[[#This Row],[Net Peasant]],-1,0)+TblMili[[#This Row],[Release Draft]]</f>
        <v>383</v>
      </c>
      <c r="D100" s="94">
        <f ca="1">TblMili[[#This Row],[Military]]</f>
        <v>693</v>
      </c>
      <c r="E100" s="94">
        <f ca="1">TblMili[[#This Row],[Draftees]]</f>
        <v>693</v>
      </c>
      <c r="F100" s="94">
        <f ca="1">TblPop[[#This Row],[Peasants]]+TblPop[[#This Row],[Military]]</f>
        <v>1076</v>
      </c>
      <c r="G100" s="139">
        <f ca="1">TblPop[[#This Row],[Military]]/TblPop[[#This Row],[Total]]</f>
        <v>0.64405204460966547</v>
      </c>
      <c r="H100" s="140">
        <f ca="1">MIN(TblPop[[#This Row],[Peasants]],TblPop[[#This Row],[Jobs]])</f>
        <v>383</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693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1076</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0" s="94">
        <f ca="1">MAX(-5%*TblPop[[#This Row],[Peasants]]-TblPop[[#This Row],[Draft Growth]],MIN(OFFSET(TblPop[[#This Row],[Net max]],1,0)-TblPop[[#This Row],[Peasants]]-TblPop[[#This Row],[Military]]-TblPop[[#This Row],[Draft Growth]],TblPop[[#This Row],[Modded Birth]]-TblPop[[#This Row],[Draft Growth]]))</f>
        <v>-4</v>
      </c>
      <c r="X100" s="94">
        <f ca="1">ROUND(TblPop[[#This Row],[Raw Birth]]*(1+TblPop[[#This Row],[Growth]]),0)</f>
        <v>11</v>
      </c>
      <c r="Y100" s="94">
        <f ca="1">(TblPop[[#This Row],[Peasants]]-TblPop[[#This Row],[Draft Growth]])*raw_pop_growth</f>
        <v>11.37</v>
      </c>
      <c r="Z100" s="94">
        <f ca="1">ROUND(IF(TblPop[[#This Row],[Military%]]&lt;TblMili[[#This Row],[Draftrate]],ROUND(TblPop[[#This Row],[Peasants]]*Constants!$B$55,0), 0) * IF(AND(TblMagic[[#This Row],[Active DnD]]&lt;=12,TblMagic[[#This Row],[Active DnD]]&gt;6),1.5,1),0)</f>
        <v>4</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46105.791666666431</v>
      </c>
      <c r="C101" s="94">
        <f ca="1">OFFSET(TblPop[[#This Row],[Peasants]],-1,0)+OFFSET(TblPop[[#This Row],[Net Peasant]],-1,0)+TblMili[[#This Row],[Release Draft]]</f>
        <v>379</v>
      </c>
      <c r="D101" s="94">
        <f ca="1">TblMili[[#This Row],[Military]]</f>
        <v>697</v>
      </c>
      <c r="E101" s="94">
        <f ca="1">TblMili[[#This Row],[Draftees]]</f>
        <v>697</v>
      </c>
      <c r="F101" s="94">
        <f ca="1">TblPop[[#This Row],[Peasants]]+TblPop[[#This Row],[Military]]</f>
        <v>1076</v>
      </c>
      <c r="G101" s="139">
        <f ca="1">TblPop[[#This Row],[Military]]/TblPop[[#This Row],[Total]]</f>
        <v>0.64776951672862448</v>
      </c>
      <c r="H101" s="140">
        <f ca="1">MIN(TblPop[[#This Row],[Peasants]],TblPop[[#This Row],[Jobs]])</f>
        <v>379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697</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1076</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1" s="94">
        <f ca="1">MAX(-5%*TblPop[[#This Row],[Peasants]]-TblPop[[#This Row],[Draft Growth]],MIN(OFFSET(TblPop[[#This Row],[Net max]],1,0)-TblPop[[#This Row],[Peasants]]-TblPop[[#This Row],[Military]]-TblPop[[#This Row],[Draft Growth]],TblPop[[#This Row],[Modded Birth]]-TblPop[[#This Row],[Draft Growth]]))</f>
        <v>-4</v>
      </c>
      <c r="X101" s="94">
        <f ca="1">ROUND(TblPop[[#This Row],[Raw Birth]]*(1+TblPop[[#This Row],[Growth]]),0)</f>
        <v>11</v>
      </c>
      <c r="Y101" s="94">
        <f ca="1">(TblPop[[#This Row],[Peasants]]-TblPop[[#This Row],[Draft Growth]])*raw_pop_growth</f>
        <v>11.25</v>
      </c>
      <c r="Z101" s="94">
        <f ca="1">ROUND(IF(TblPop[[#This Row],[Military%]]&lt;TblMili[[#This Row],[Draftrate]],ROUND(TblPop[[#This Row],[Peasants]]*Constants!$B$55,0), 0) * IF(AND(TblMagic[[#This Row],[Active DnD]]&lt;=12,TblMagic[[#This Row],[Active DnD]]&gt;6),1.5,1),0)</f>
        <v>4</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46105.833333333096</v>
      </c>
      <c r="C102" s="94">
        <f ca="1">OFFSET(TblPop[[#This Row],[Peasants]],-1,0)+OFFSET(TblPop[[#This Row],[Net Peasant]],-1,0)+TblMili[[#This Row],[Release Draft]]</f>
        <v>375</v>
      </c>
      <c r="D102" s="94">
        <f ca="1">TblMili[[#This Row],[Military]]</f>
        <v>701</v>
      </c>
      <c r="E102" s="94">
        <f ca="1">TblMili[[#This Row],[Draftees]]</f>
        <v>701</v>
      </c>
      <c r="F102" s="94">
        <f ca="1">TblPop[[#This Row],[Peasants]]+TblPop[[#This Row],[Military]]</f>
        <v>1076</v>
      </c>
      <c r="G102" s="139">
        <f ca="1">TblPop[[#This Row],[Military]]/TblPop[[#This Row],[Total]]</f>
        <v>0.6514869888475836</v>
      </c>
      <c r="H102" s="140">
        <f ca="1">MIN(TblPop[[#This Row],[Peasants]],TblPop[[#This Row],[Jobs]])</f>
        <v>375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701</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1076</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2" s="94">
        <f ca="1">MAX(-5%*TblPop[[#This Row],[Peasants]]-TblPop[[#This Row],[Draft Growth]],MIN(OFFSET(TblPop[[#This Row],[Net max]],1,0)-TblPop[[#This Row],[Peasants]]-TblPop[[#This Row],[Military]]-TblPop[[#This Row],[Draft Growth]],TblPop[[#This Row],[Modded Birth]]-TblPop[[#This Row],[Draft Growth]]))</f>
        <v>-4</v>
      </c>
      <c r="X102" s="94">
        <f ca="1">ROUND(TblPop[[#This Row],[Raw Birth]]*(1+TblPop[[#This Row],[Growth]]),0)</f>
        <v>11</v>
      </c>
      <c r="Y102" s="94">
        <f ca="1">(TblPop[[#This Row],[Peasants]]-TblPop[[#This Row],[Draft Growth]])*raw_pop_growth</f>
        <v>11.129999999999999</v>
      </c>
      <c r="Z102" s="94">
        <f ca="1">ROUND(IF(TblPop[[#This Row],[Military%]]&lt;TblMili[[#This Row],[Draftrate]],ROUND(TblPop[[#This Row],[Peasants]]*Constants!$B$55,0), 0) * IF(AND(TblMagic[[#This Row],[Active DnD]]&lt;=12,TblMagic[[#This Row],[Active DnD]]&gt;6),1.5,1),0)</f>
        <v>4</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46105.87499999976</v>
      </c>
      <c r="C103" s="94">
        <f ca="1">OFFSET(TblPop[[#This Row],[Peasants]],-1,0)+OFFSET(TblPop[[#This Row],[Net Peasant]],-1,0)+TblMili[[#This Row],[Release Draft]]</f>
        <v>371</v>
      </c>
      <c r="D103" s="94">
        <f ca="1">TblMili[[#This Row],[Military]]</f>
        <v>705</v>
      </c>
      <c r="E103" s="94">
        <f ca="1">TblMili[[#This Row],[Draftees]]</f>
        <v>705</v>
      </c>
      <c r="F103" s="94">
        <f ca="1">TblPop[[#This Row],[Peasants]]+TblPop[[#This Row],[Military]]</f>
        <v>1076</v>
      </c>
      <c r="G103" s="139">
        <f ca="1">TblPop[[#This Row],[Military]]/TblPop[[#This Row],[Total]]</f>
        <v>0.65520446096654272</v>
      </c>
      <c r="H103" s="140">
        <f ca="1">MIN(TblPop[[#This Row],[Peasants]],TblPop[[#This Row],[Jobs]])</f>
        <v>371</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705</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1076</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3" s="94">
        <f ca="1">MAX(-5%*TblPop[[#This Row],[Peasants]]-TblPop[[#This Row],[Draft Growth]],MIN(OFFSET(TblPop[[#This Row],[Net max]],1,0)-TblPop[[#This Row],[Peasants]]-TblPop[[#This Row],[Military]]-TblPop[[#This Row],[Draft Growth]],TblPop[[#This Row],[Modded Birth]]-TblPop[[#This Row],[Draft Growth]]))</f>
        <v>-4</v>
      </c>
      <c r="X103" s="94">
        <f ca="1">ROUND(TblPop[[#This Row],[Raw Birth]]*(1+TblPop[[#This Row],[Growth]]),0)</f>
        <v>11</v>
      </c>
      <c r="Y103" s="94">
        <f ca="1">(TblPop[[#This Row],[Peasants]]-TblPop[[#This Row],[Draft Growth]])*raw_pop_growth</f>
        <v>11.01</v>
      </c>
      <c r="Z103" s="94">
        <f ca="1">ROUND(IF(TblPop[[#This Row],[Military%]]&lt;TblMili[[#This Row],[Draftrate]],ROUND(TblPop[[#This Row],[Peasants]]*Constants!$B$55,0), 0) * IF(AND(TblMagic[[#This Row],[Active DnD]]&lt;=12,TblMagic[[#This Row],[Active DnD]]&gt;6),1.5,1),0)</f>
        <v>4</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46105.916666666424</v>
      </c>
      <c r="C104" s="94">
        <f ca="1">OFFSET(TblPop[[#This Row],[Peasants]],-1,0)+OFFSET(TblPop[[#This Row],[Net Peasant]],-1,0)+TblMili[[#This Row],[Release Draft]]</f>
        <v>367</v>
      </c>
      <c r="D104" s="94">
        <f ca="1">TblMili[[#This Row],[Military]]</f>
        <v>709</v>
      </c>
      <c r="E104" s="94">
        <f ca="1">TblMili[[#This Row],[Draftees]]</f>
        <v>709</v>
      </c>
      <c r="F104" s="94">
        <f ca="1">TblPop[[#This Row],[Peasants]]+TblPop[[#This Row],[Military]]</f>
        <v>1076</v>
      </c>
      <c r="G104" s="139">
        <f ca="1">TblPop[[#This Row],[Military]]/TblPop[[#This Row],[Total]]</f>
        <v>0.65892193308550184</v>
      </c>
      <c r="H104" s="140">
        <f ca="1">MIN(TblPop[[#This Row],[Peasants]],TblPop[[#This Row],[Jobs]])</f>
        <v>367</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709</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1076</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4" s="94">
        <f ca="1">MAX(-5%*TblPop[[#This Row],[Peasants]]-TblPop[[#This Row],[Draft Growth]],MIN(OFFSET(TblPop[[#This Row],[Net max]],1,0)-TblPop[[#This Row],[Peasants]]-TblPop[[#This Row],[Military]]-TblPop[[#This Row],[Draft Growth]],TblPop[[#This Row],[Modded Birth]]-TblPop[[#This Row],[Draft Growth]]))</f>
        <v>-4</v>
      </c>
      <c r="X104" s="94">
        <f ca="1">ROUND(TblPop[[#This Row],[Raw Birth]]*(1+TblPop[[#This Row],[Growth]]),0)</f>
        <v>11</v>
      </c>
      <c r="Y104" s="94">
        <f ca="1">(TblPop[[#This Row],[Peasants]]-TblPop[[#This Row],[Draft Growth]])*raw_pop_growth</f>
        <v>10.889999999999999</v>
      </c>
      <c r="Z104" s="94">
        <f ca="1">ROUND(IF(TblPop[[#This Row],[Military%]]&lt;TblMili[[#This Row],[Draftrate]],ROUND(TblPop[[#This Row],[Peasants]]*Constants!$B$55,0), 0) * IF(AND(TblMagic[[#This Row],[Active DnD]]&lt;=12,TblMagic[[#This Row],[Active DnD]]&gt;6),1.5,1),0)</f>
        <v>4</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46105.958333333088</v>
      </c>
      <c r="C105" s="94">
        <f ca="1">OFFSET(TblPop[[#This Row],[Peasants]],-1,0)+OFFSET(TblPop[[#This Row],[Net Peasant]],-1,0)+TblMili[[#This Row],[Release Draft]]</f>
        <v>363</v>
      </c>
      <c r="D105" s="94">
        <f ca="1">TblMili[[#This Row],[Military]]</f>
        <v>713</v>
      </c>
      <c r="E105" s="94">
        <f ca="1">TblMili[[#This Row],[Draftees]]</f>
        <v>713</v>
      </c>
      <c r="F105" s="94">
        <f ca="1">TblPop[[#This Row],[Peasants]]+TblPop[[#This Row],[Military]]</f>
        <v>1076</v>
      </c>
      <c r="G105" s="139">
        <f ca="1">TblPop[[#This Row],[Military]]/TblPop[[#This Row],[Total]]</f>
        <v>0.66263940520446096</v>
      </c>
      <c r="H105" s="140">
        <f ca="1">MIN(TblPop[[#This Row],[Peasants]],TblPop[[#This Row],[Jobs]])</f>
        <v>363</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713</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1076</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5" s="94">
        <f ca="1">MAX(-5%*TblPop[[#This Row],[Peasants]]-TblPop[[#This Row],[Draft Growth]],MIN(OFFSET(TblPop[[#This Row],[Net max]],1,0)-TblPop[[#This Row],[Peasants]]-TblPop[[#This Row],[Military]]-TblPop[[#This Row],[Draft Growth]],TblPop[[#This Row],[Modded Birth]]-TblPop[[#This Row],[Draft Growth]]))</f>
        <v>-4</v>
      </c>
      <c r="X105" s="94">
        <f ca="1">ROUND(TblPop[[#This Row],[Raw Birth]]*(1+TblPop[[#This Row],[Growth]]),0)</f>
        <v>11</v>
      </c>
      <c r="Y105" s="94">
        <f ca="1">(TblPop[[#This Row],[Peasants]]-TblPop[[#This Row],[Draft Growth]])*raw_pop_growth</f>
        <v>10.77</v>
      </c>
      <c r="Z105" s="94">
        <f ca="1">ROUND(IF(TblPop[[#This Row],[Military%]]&lt;TblMili[[#This Row],[Draftrate]],ROUND(TblPop[[#This Row],[Peasants]]*Constants!$B$55,0), 0) * IF(AND(TblMagic[[#This Row],[Active DnD]]&lt;=12,TblMagic[[#This Row],[Active DnD]]&gt;6),1.5,1),0)</f>
        <v>4</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46105.999999999753</v>
      </c>
      <c r="C106" s="94">
        <f ca="1">OFFSET(TblPop[[#This Row],[Peasants]],-1,0)+OFFSET(TblPop[[#This Row],[Net Peasant]],-1,0)+TblMili[[#This Row],[Release Draft]]</f>
        <v>359</v>
      </c>
      <c r="D106" s="94">
        <f ca="1">TblMili[[#This Row],[Military]]</f>
        <v>717</v>
      </c>
      <c r="E106" s="94">
        <f ca="1">TblMili[[#This Row],[Draftees]]</f>
        <v>717</v>
      </c>
      <c r="F106" s="94">
        <f ca="1">TblPop[[#This Row],[Peasants]]+TblPop[[#This Row],[Military]]</f>
        <v>1076</v>
      </c>
      <c r="G106" s="139">
        <f ca="1">TblPop[[#This Row],[Military]]/TblPop[[#This Row],[Total]]</f>
        <v>0.66635687732342008</v>
      </c>
      <c r="H106" s="140">
        <f ca="1">MIN(TblPop[[#This Row],[Peasants]],TblPop[[#This Row],[Jobs]])</f>
        <v>359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717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1076</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6" s="94">
        <f ca="1">MAX(-5%*TblPop[[#This Row],[Peasants]]-TblPop[[#This Row],[Draft Growth]],MIN(OFFSET(TblPop[[#This Row],[Net max]],1,0)-TblPop[[#This Row],[Peasants]]-TblPop[[#This Row],[Military]]-TblPop[[#This Row],[Draft Growth]],TblPop[[#This Row],[Modded Birth]]-TblPop[[#This Row],[Draft Growth]]))</f>
        <v>-4</v>
      </c>
      <c r="X106" s="94">
        <f ca="1">ROUND(TblPop[[#This Row],[Raw Birth]]*(1+TblPop[[#This Row],[Growth]]),0)</f>
        <v>11</v>
      </c>
      <c r="Y106" s="94">
        <f ca="1">(TblPop[[#This Row],[Peasants]]-TblPop[[#This Row],[Draft Growth]])*raw_pop_growth</f>
        <v>10.65</v>
      </c>
      <c r="Z106" s="94">
        <f ca="1">ROUND(IF(TblPop[[#This Row],[Military%]]&lt;TblMili[[#This Row],[Draftrate]],ROUND(TblPop[[#This Row],[Peasants]]*Constants!$B$55,0), 0) * IF(AND(TblMagic[[#This Row],[Active DnD]]&lt;=12,TblMagic[[#This Row],[Active DnD]]&gt;6),1.5,1),0)</f>
        <v>4</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46106.041666666417</v>
      </c>
      <c r="C107" s="94">
        <f ca="1">OFFSET(TblPop[[#This Row],[Peasants]],-1,0)+OFFSET(TblPop[[#This Row],[Net Peasant]],-1,0)+TblMili[[#This Row],[Release Draft]]</f>
        <v>355</v>
      </c>
      <c r="D107" s="94">
        <f ca="1">TblMili[[#This Row],[Military]]</f>
        <v>721</v>
      </c>
      <c r="E107" s="94">
        <f ca="1">TblMili[[#This Row],[Draftees]]</f>
        <v>721</v>
      </c>
      <c r="F107" s="94">
        <f ca="1">TblPop[[#This Row],[Peasants]]+TblPop[[#This Row],[Military]]</f>
        <v>1076</v>
      </c>
      <c r="G107" s="139">
        <f ca="1">TblPop[[#This Row],[Military]]/TblPop[[#This Row],[Total]]</f>
        <v>0.6700743494423792</v>
      </c>
      <c r="H107" s="140">
        <f ca="1">MIN(TblPop[[#This Row],[Peasants]],TblPop[[#This Row],[Jobs]])</f>
        <v>355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721</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1076</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7" s="94">
        <f ca="1">MAX(-5%*TblPop[[#This Row],[Peasants]]-TblPop[[#This Row],[Draft Growth]],MIN(OFFSET(TblPop[[#This Row],[Net max]],1,0)-TblPop[[#This Row],[Peasants]]-TblPop[[#This Row],[Military]]-TblPop[[#This Row],[Draft Growth]],TblPop[[#This Row],[Modded Birth]]-TblPop[[#This Row],[Draft Growth]]))</f>
        <v>-4</v>
      </c>
      <c r="X107" s="94">
        <f ca="1">ROUND(TblPop[[#This Row],[Raw Birth]]*(1+TblPop[[#This Row],[Growth]]),0)</f>
        <v>11</v>
      </c>
      <c r="Y107" s="94">
        <f ca="1">(TblPop[[#This Row],[Peasants]]-TblPop[[#This Row],[Draft Growth]])*raw_pop_growth</f>
        <v>10.53</v>
      </c>
      <c r="Z107" s="94">
        <f ca="1">ROUND(IF(TblPop[[#This Row],[Military%]]&lt;TblMili[[#This Row],[Draftrate]],ROUND(TblPop[[#This Row],[Peasants]]*Constants!$B$55,0), 0) * IF(AND(TblMagic[[#This Row],[Active DnD]]&lt;=12,TblMagic[[#This Row],[Active DnD]]&gt;6),1.5,1),0)</f>
        <v>4</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46106.083333333081</v>
      </c>
      <c r="C108" s="94">
        <f ca="1">OFFSET(TblPop[[#This Row],[Peasants]],-1,0)+OFFSET(TblPop[[#This Row],[Net Peasant]],-1,0)+TblMili[[#This Row],[Release Draft]]</f>
        <v>351</v>
      </c>
      <c r="D108" s="94">
        <f ca="1">TblMili[[#This Row],[Military]]</f>
        <v>725</v>
      </c>
      <c r="E108" s="94">
        <f ca="1">TblMili[[#This Row],[Draftees]]</f>
        <v>725</v>
      </c>
      <c r="F108" s="94">
        <f ca="1">TblPop[[#This Row],[Peasants]]+TblPop[[#This Row],[Military]]</f>
        <v>1076</v>
      </c>
      <c r="G108" s="139">
        <f ca="1">TblPop[[#This Row],[Military]]/TblPop[[#This Row],[Total]]</f>
        <v>0.67379182156133832</v>
      </c>
      <c r="H108" s="140">
        <f ca="1">MIN(TblPop[[#This Row],[Peasants]],TblPop[[#This Row],[Jobs]])</f>
        <v>351</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725</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1076</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8" s="94">
        <f ca="1">MAX(-5%*TblPop[[#This Row],[Peasants]]-TblPop[[#This Row],[Draft Growth]],MIN(OFFSET(TblPop[[#This Row],[Net max]],1,0)-TblPop[[#This Row],[Peasants]]-TblPop[[#This Row],[Military]]-TblPop[[#This Row],[Draft Growth]],TblPop[[#This Row],[Modded Birth]]-TblPop[[#This Row],[Draft Growth]]))</f>
        <v>-4</v>
      </c>
      <c r="X108" s="94">
        <f ca="1">ROUND(TblPop[[#This Row],[Raw Birth]]*(1+TblPop[[#This Row],[Growth]]),0)</f>
        <v>10</v>
      </c>
      <c r="Y108" s="94">
        <f ca="1">(TblPop[[#This Row],[Peasants]]-TblPop[[#This Row],[Draft Growth]])*raw_pop_growth</f>
        <v>10.41</v>
      </c>
      <c r="Z108" s="94">
        <f ca="1">ROUND(IF(TblPop[[#This Row],[Military%]]&lt;TblMili[[#This Row],[Draftrate]],ROUND(TblPop[[#This Row],[Peasants]]*Constants!$B$55,0), 0) * IF(AND(TblMagic[[#This Row],[Active DnD]]&lt;=12,TblMagic[[#This Row],[Active DnD]]&gt;6),1.5,1),0)</f>
        <v>4</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46106.124999999745</v>
      </c>
      <c r="C109" s="94">
        <f ca="1">OFFSET(TblPop[[#This Row],[Peasants]],-1,0)+OFFSET(TblPop[[#This Row],[Net Peasant]],-1,0)+TblMili[[#This Row],[Release Draft]]</f>
        <v>347</v>
      </c>
      <c r="D109" s="94">
        <f ca="1">TblMili[[#This Row],[Military]]</f>
        <v>729</v>
      </c>
      <c r="E109" s="94">
        <f ca="1">TblMili[[#This Row],[Draftees]]</f>
        <v>729</v>
      </c>
      <c r="F109" s="94">
        <f ca="1">TblPop[[#This Row],[Peasants]]+TblPop[[#This Row],[Military]]</f>
        <v>1076</v>
      </c>
      <c r="G109" s="139">
        <f ca="1">TblPop[[#This Row],[Military]]/TblPop[[#This Row],[Total]]</f>
        <v>0.67750929368029744</v>
      </c>
      <c r="H109" s="140">
        <f ca="1">MIN(TblPop[[#This Row],[Peasants]],TblPop[[#This Row],[Jobs]])</f>
        <v>347</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729</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1076</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9" s="94">
        <f ca="1">MAX(-5%*TblPop[[#This Row],[Peasants]]-TblPop[[#This Row],[Draft Growth]],MIN(OFFSET(TblPop[[#This Row],[Net max]],1,0)-TblPop[[#This Row],[Peasants]]-TblPop[[#This Row],[Military]]-TblPop[[#This Row],[Draft Growth]],TblPop[[#This Row],[Modded Birth]]-TblPop[[#This Row],[Draft Growth]]))</f>
        <v>-3</v>
      </c>
      <c r="X109" s="94">
        <f ca="1">ROUND(TblPop[[#This Row],[Raw Birth]]*(1+TblPop[[#This Row],[Growth]]),0)</f>
        <v>10</v>
      </c>
      <c r="Y109" s="94">
        <f ca="1">(TblPop[[#This Row],[Peasants]]-TblPop[[#This Row],[Draft Growth]])*raw_pop_growth</f>
        <v>10.32</v>
      </c>
      <c r="Z109" s="94">
        <f ca="1">ROUND(IF(TblPop[[#This Row],[Military%]]&lt;TblMili[[#This Row],[Draftrate]],ROUND(TblPop[[#This Row],[Peasants]]*Constants!$B$55,0), 0) * IF(AND(TblMagic[[#This Row],[Active DnD]]&lt;=12,TblMagic[[#This Row],[Active DnD]]&gt;6),1.5,1),0)</f>
        <v>3</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46106.16666666641</v>
      </c>
      <c r="C110" s="94">
        <f ca="1">OFFSET(TblPop[[#This Row],[Peasants]],-1,0)+OFFSET(TblPop[[#This Row],[Net Peasant]],-1,0)+TblMili[[#This Row],[Release Draft]]</f>
        <v>344</v>
      </c>
      <c r="D110" s="94">
        <f ca="1">TblMili[[#This Row],[Military]]</f>
        <v>732</v>
      </c>
      <c r="E110" s="94">
        <f ca="1">TblMili[[#This Row],[Draftees]]</f>
        <v>732</v>
      </c>
      <c r="F110" s="94">
        <f ca="1">TblPop[[#This Row],[Peasants]]+TblPop[[#This Row],[Military]]</f>
        <v>1076</v>
      </c>
      <c r="G110" s="139">
        <f ca="1">TblPop[[#This Row],[Military]]/TblPop[[#This Row],[Total]]</f>
        <v>0.6802973977695167</v>
      </c>
      <c r="H110" s="140">
        <f ca="1">MIN(TblPop[[#This Row],[Peasants]],TblPop[[#This Row],[Jobs]])</f>
        <v>344</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732</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1076</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0" s="94">
        <f ca="1">MAX(-5%*TblPop[[#This Row],[Peasants]]-TblPop[[#This Row],[Draft Growth]],MIN(OFFSET(TblPop[[#This Row],[Net max]],1,0)-TblPop[[#This Row],[Peasants]]-TblPop[[#This Row],[Military]]-TblPop[[#This Row],[Draft Growth]],TblPop[[#This Row],[Modded Birth]]-TblPop[[#This Row],[Draft Growth]]))</f>
        <v>-3</v>
      </c>
      <c r="X110" s="94">
        <f ca="1">ROUND(TblPop[[#This Row],[Raw Birth]]*(1+TblPop[[#This Row],[Growth]]),0)</f>
        <v>10</v>
      </c>
      <c r="Y110" s="94">
        <f ca="1">(TblPop[[#This Row],[Peasants]]-TblPop[[#This Row],[Draft Growth]])*raw_pop_growth</f>
        <v>10.23</v>
      </c>
      <c r="Z110" s="94">
        <f ca="1">ROUND(IF(TblPop[[#This Row],[Military%]]&lt;TblMili[[#This Row],[Draftrate]],ROUND(TblPop[[#This Row],[Peasants]]*Constants!$B$55,0), 0) * IF(AND(TblMagic[[#This Row],[Active DnD]]&lt;=12,TblMagic[[#This Row],[Active DnD]]&gt;6),1.5,1),0)</f>
        <v>3</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46106.208333333074</v>
      </c>
      <c r="C111" s="94">
        <f ca="1">OFFSET(TblPop[[#This Row],[Peasants]],-1,0)+OFFSET(TblPop[[#This Row],[Net Peasant]],-1,0)+TblMili[[#This Row],[Release Draft]]</f>
        <v>341</v>
      </c>
      <c r="D111" s="94">
        <f ca="1">TblMili[[#This Row],[Military]]</f>
        <v>735</v>
      </c>
      <c r="E111" s="94">
        <f ca="1">TblMili[[#This Row],[Draftees]]</f>
        <v>735</v>
      </c>
      <c r="F111" s="94">
        <f ca="1">TblPop[[#This Row],[Peasants]]+TblPop[[#This Row],[Military]]</f>
        <v>1076</v>
      </c>
      <c r="G111" s="139">
        <f ca="1">TblPop[[#This Row],[Military]]/TblPop[[#This Row],[Total]]</f>
        <v>0.68308550185873607</v>
      </c>
      <c r="H111" s="140">
        <f ca="1">MIN(TblPop[[#This Row],[Peasants]],TblPop[[#This Row],[Jobs]])</f>
        <v>341</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735</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1076</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1" s="94">
        <f ca="1">MAX(-5%*TblPop[[#This Row],[Peasants]]-TblPop[[#This Row],[Draft Growth]],MIN(OFFSET(TblPop[[#This Row],[Net max]],1,0)-TblPop[[#This Row],[Peasants]]-TblPop[[#This Row],[Military]]-TblPop[[#This Row],[Draft Growth]],TblPop[[#This Row],[Modded Birth]]-TblPop[[#This Row],[Draft Growth]]))</f>
        <v>-3</v>
      </c>
      <c r="X111" s="94">
        <f ca="1">ROUND(TblPop[[#This Row],[Raw Birth]]*(1+TblPop[[#This Row],[Growth]]),0)</f>
        <v>10</v>
      </c>
      <c r="Y111" s="94">
        <f ca="1">(TblPop[[#This Row],[Peasants]]-TblPop[[#This Row],[Draft Growth]])*raw_pop_growth</f>
        <v>10.139999999999999</v>
      </c>
      <c r="Z111" s="94">
        <f ca="1">ROUND(IF(TblPop[[#This Row],[Military%]]&lt;TblMili[[#This Row],[Draftrate]],ROUND(TblPop[[#This Row],[Peasants]]*Constants!$B$55,0), 0) * IF(AND(TblMagic[[#This Row],[Active DnD]]&lt;=12,TblMagic[[#This Row],[Active DnD]]&gt;6),1.5,1),0)</f>
        <v>3</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46106.249999999738</v>
      </c>
      <c r="C112" s="94">
        <f ca="1">OFFSET(TblPop[[#This Row],[Peasants]],-1,0)+OFFSET(TblPop[[#This Row],[Net Peasant]],-1,0)+TblMili[[#This Row],[Release Draft]]</f>
        <v>338</v>
      </c>
      <c r="D112" s="94">
        <f ca="1">TblMili[[#This Row],[Military]]</f>
        <v>738</v>
      </c>
      <c r="E112" s="94">
        <f ca="1">TblMili[[#This Row],[Draftees]]</f>
        <v>738</v>
      </c>
      <c r="F112" s="94">
        <f ca="1">TblPop[[#This Row],[Peasants]]+TblPop[[#This Row],[Military]]</f>
        <v>1076</v>
      </c>
      <c r="G112" s="139">
        <f ca="1">TblPop[[#This Row],[Military]]/TblPop[[#This Row],[Total]]</f>
        <v>0.68587360594795543</v>
      </c>
      <c r="H112" s="140">
        <f ca="1">MIN(TblPop[[#This Row],[Peasants]],TblPop[[#This Row],[Jobs]])</f>
        <v>338</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738</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1076</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2" s="94">
        <f ca="1">MAX(-5%*TblPop[[#This Row],[Peasants]]-TblPop[[#This Row],[Draft Growth]],MIN(OFFSET(TblPop[[#This Row],[Net max]],1,0)-TblPop[[#This Row],[Peasants]]-TblPop[[#This Row],[Military]]-TblPop[[#This Row],[Draft Growth]],TblPop[[#This Row],[Modded Birth]]-TblPop[[#This Row],[Draft Growth]]))</f>
        <v>-3</v>
      </c>
      <c r="X112" s="94">
        <f ca="1">ROUND(TblPop[[#This Row],[Raw Birth]]*(1+TblPop[[#This Row],[Growth]]),0)</f>
        <v>10</v>
      </c>
      <c r="Y112" s="94">
        <f ca="1">(TblPop[[#This Row],[Peasants]]-TblPop[[#This Row],[Draft Growth]])*raw_pop_growth</f>
        <v>10.049999999999999</v>
      </c>
      <c r="Z112" s="94">
        <f ca="1">ROUND(IF(TblPop[[#This Row],[Military%]]&lt;TblMili[[#This Row],[Draftrate]],ROUND(TblPop[[#This Row],[Peasants]]*Constants!$B$55,0), 0) * IF(AND(TblMagic[[#This Row],[Active DnD]]&lt;=12,TblMagic[[#This Row],[Active DnD]]&gt;6),1.5,1),0)</f>
        <v>3</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46106.291666666402</v>
      </c>
      <c r="C113" s="94">
        <f ca="1">OFFSET(TblPop[[#This Row],[Peasants]],-1,0)+OFFSET(TblPop[[#This Row],[Net Peasant]],-1,0)+TblMili[[#This Row],[Release Draft]]</f>
        <v>335</v>
      </c>
      <c r="D113" s="94">
        <f ca="1">TblMili[[#This Row],[Military]]</f>
        <v>741</v>
      </c>
      <c r="E113" s="94">
        <f ca="1">TblMili[[#This Row],[Draftees]]</f>
        <v>741</v>
      </c>
      <c r="F113" s="94">
        <f ca="1">TblPop[[#This Row],[Peasants]]+TblPop[[#This Row],[Military]]</f>
        <v>1076</v>
      </c>
      <c r="G113" s="139">
        <f ca="1">TblPop[[#This Row],[Military]]/TblPop[[#This Row],[Total]]</f>
        <v>0.68866171003717469</v>
      </c>
      <c r="H113" s="140">
        <f ca="1">MIN(TblPop[[#This Row],[Peasants]],TblPop[[#This Row],[Jobs]])</f>
        <v>335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741</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1076</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3" s="94">
        <f ca="1">MAX(-5%*TblPop[[#This Row],[Peasants]]-TblPop[[#This Row],[Draft Growth]],MIN(OFFSET(TblPop[[#This Row],[Net max]],1,0)-TblPop[[#This Row],[Peasants]]-TblPop[[#This Row],[Military]]-TblPop[[#This Row],[Draft Growth]],TblPop[[#This Row],[Modded Birth]]-TblPop[[#This Row],[Draft Growth]]))</f>
        <v>-3</v>
      </c>
      <c r="X113" s="94">
        <f ca="1">ROUND(TblPop[[#This Row],[Raw Birth]]*(1+TblPop[[#This Row],[Growth]]),0)</f>
        <v>10</v>
      </c>
      <c r="Y113" s="94">
        <f ca="1">(TblPop[[#This Row],[Peasants]]-TblPop[[#This Row],[Draft Growth]])*raw_pop_growth</f>
        <v>9.9599999999999991</v>
      </c>
      <c r="Z113" s="94">
        <f ca="1">ROUND(IF(TblPop[[#This Row],[Military%]]&lt;TblMili[[#This Row],[Draftrate]],ROUND(TblPop[[#This Row],[Peasants]]*Constants!$B$55,0), 0) * IF(AND(TblMagic[[#This Row],[Active DnD]]&lt;=12,TblMagic[[#This Row],[Active DnD]]&gt;6),1.5,1),0)</f>
        <v>3</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46106.333333333067</v>
      </c>
      <c r="C114" s="94">
        <f ca="1">OFFSET(TblPop[[#This Row],[Peasants]],-1,0)+OFFSET(TblPop[[#This Row],[Net Peasant]],-1,0)+TblMili[[#This Row],[Release Draft]]</f>
        <v>332</v>
      </c>
      <c r="D114" s="94">
        <f ca="1">TblMili[[#This Row],[Military]]</f>
        <v>744</v>
      </c>
      <c r="E114" s="94">
        <f ca="1">TblMili[[#This Row],[Draftees]]</f>
        <v>744</v>
      </c>
      <c r="F114" s="94">
        <f ca="1">TblPop[[#This Row],[Peasants]]+TblPop[[#This Row],[Military]]</f>
        <v>1076</v>
      </c>
      <c r="G114" s="139">
        <f ca="1">TblPop[[#This Row],[Military]]/TblPop[[#This Row],[Total]]</f>
        <v>0.69144981412639406</v>
      </c>
      <c r="H114" s="140">
        <f ca="1">MIN(TblPop[[#This Row],[Peasants]],TblPop[[#This Row],[Jobs]])</f>
        <v>332</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744</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1076</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4" s="94">
        <f ca="1">MAX(-5%*TblPop[[#This Row],[Peasants]]-TblPop[[#This Row],[Draft Growth]],MIN(OFFSET(TblPop[[#This Row],[Net max]],1,0)-TblPop[[#This Row],[Peasants]]-TblPop[[#This Row],[Military]]-TblPop[[#This Row],[Draft Growth]],TblPop[[#This Row],[Modded Birth]]-TblPop[[#This Row],[Draft Growth]]))</f>
        <v>-3</v>
      </c>
      <c r="X114" s="94">
        <f ca="1">ROUND(TblPop[[#This Row],[Raw Birth]]*(1+TblPop[[#This Row],[Growth]]),0)</f>
        <v>10</v>
      </c>
      <c r="Y114" s="94">
        <f ca="1">(TblPop[[#This Row],[Peasants]]-TblPop[[#This Row],[Draft Growth]])*raw_pop_growth</f>
        <v>9.8699999999999992</v>
      </c>
      <c r="Z114" s="94">
        <f ca="1">ROUND(IF(TblPop[[#This Row],[Military%]]&lt;TblMili[[#This Row],[Draftrate]],ROUND(TblPop[[#This Row],[Peasants]]*Constants!$B$55,0), 0) * IF(AND(TblMagic[[#This Row],[Active DnD]]&lt;=12,TblMagic[[#This Row],[Active DnD]]&gt;6),1.5,1),0)</f>
        <v>3</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46106.374999999731</v>
      </c>
      <c r="C115" s="94">
        <f ca="1">OFFSET(TblPop[[#This Row],[Peasants]],-1,0)+OFFSET(TblPop[[#This Row],[Net Peasant]],-1,0)+TblMili[[#This Row],[Release Draft]]</f>
        <v>329</v>
      </c>
      <c r="D115" s="94">
        <f ca="1">TblMili[[#This Row],[Military]]</f>
        <v>747</v>
      </c>
      <c r="E115" s="94">
        <f ca="1">TblMili[[#This Row],[Draftees]]</f>
        <v>747</v>
      </c>
      <c r="F115" s="94">
        <f ca="1">TblPop[[#This Row],[Peasants]]+TblPop[[#This Row],[Military]]</f>
        <v>1076</v>
      </c>
      <c r="G115" s="139">
        <f ca="1">TblPop[[#This Row],[Military]]/TblPop[[#This Row],[Total]]</f>
        <v>0.69423791821561343</v>
      </c>
      <c r="H115" s="140">
        <f ca="1">MIN(TblPop[[#This Row],[Peasants]],TblPop[[#This Row],[Jobs]])</f>
        <v>329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747</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1076</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5" s="94">
        <f ca="1">MAX(-5%*TblPop[[#This Row],[Peasants]]-TblPop[[#This Row],[Draft Growth]],MIN(OFFSET(TblPop[[#This Row],[Net max]],1,0)-TblPop[[#This Row],[Peasants]]-TblPop[[#This Row],[Military]]-TblPop[[#This Row],[Draft Growth]],TblPop[[#This Row],[Modded Birth]]-TblPop[[#This Row],[Draft Growth]]))</f>
        <v>-3</v>
      </c>
      <c r="X115" s="94">
        <f ca="1">ROUND(TblPop[[#This Row],[Raw Birth]]*(1+TblPop[[#This Row],[Growth]]),0)</f>
        <v>10</v>
      </c>
      <c r="Y115" s="94">
        <f ca="1">(TblPop[[#This Row],[Peasants]]-TblPop[[#This Row],[Draft Growth]])*raw_pop_growth</f>
        <v>9.7799999999999994</v>
      </c>
      <c r="Z115" s="94">
        <f ca="1">ROUND(IF(TblPop[[#This Row],[Military%]]&lt;TblMili[[#This Row],[Draftrate]],ROUND(TblPop[[#This Row],[Peasants]]*Constants!$B$55,0), 0) * IF(AND(TblMagic[[#This Row],[Active DnD]]&lt;=12,TblMagic[[#This Row],[Active DnD]]&gt;6),1.5,1),0)</f>
        <v>3</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46106.416666666395</v>
      </c>
      <c r="C116" s="94">
        <f ca="1">OFFSET(TblPop[[#This Row],[Peasants]],-1,0)+OFFSET(TblPop[[#This Row],[Net Peasant]],-1,0)+TblMili[[#This Row],[Release Draft]]</f>
        <v>326</v>
      </c>
      <c r="D116" s="94">
        <f ca="1">TblMili[[#This Row],[Military]]</f>
        <v>750</v>
      </c>
      <c r="E116" s="94">
        <f ca="1">TblMili[[#This Row],[Draftees]]</f>
        <v>750</v>
      </c>
      <c r="F116" s="94">
        <f ca="1">TblPop[[#This Row],[Peasants]]+TblPop[[#This Row],[Military]]</f>
        <v>1076</v>
      </c>
      <c r="G116" s="139">
        <f ca="1">TblPop[[#This Row],[Military]]/TblPop[[#This Row],[Total]]</f>
        <v>0.69702602230483268</v>
      </c>
      <c r="H116" s="140">
        <f ca="1">MIN(TblPop[[#This Row],[Peasants]],TblPop[[#This Row],[Jobs]])</f>
        <v>326</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750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1076</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6" s="94">
        <f ca="1">MAX(-5%*TblPop[[#This Row],[Peasants]]-TblPop[[#This Row],[Draft Growth]],MIN(OFFSET(TblPop[[#This Row],[Net max]],1,0)-TblPop[[#This Row],[Peasants]]-TblPop[[#This Row],[Military]]-TblPop[[#This Row],[Draft Growth]],TblPop[[#This Row],[Modded Birth]]-TblPop[[#This Row],[Draft Growth]]))</f>
        <v>-3</v>
      </c>
      <c r="X116" s="94">
        <f ca="1">ROUND(TblPop[[#This Row],[Raw Birth]]*(1+TblPop[[#This Row],[Growth]]),0)</f>
        <v>10</v>
      </c>
      <c r="Y116" s="94">
        <f ca="1">(TblPop[[#This Row],[Peasants]]-TblPop[[#This Row],[Draft Growth]])*raw_pop_growth</f>
        <v>9.69</v>
      </c>
      <c r="Z116" s="94">
        <f ca="1">ROUND(IF(TblPop[[#This Row],[Military%]]&lt;TblMili[[#This Row],[Draftrate]],ROUND(TblPop[[#This Row],[Peasants]]*Constants!$B$55,0), 0) * IF(AND(TblMagic[[#This Row],[Active DnD]]&lt;=12,TblMagic[[#This Row],[Active DnD]]&gt;6),1.5,1),0)</f>
        <v>3</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46106.458333333059</v>
      </c>
      <c r="C117" s="94">
        <f ca="1">OFFSET(TblPop[[#This Row],[Peasants]],-1,0)+OFFSET(TblPop[[#This Row],[Net Peasant]],-1,0)+TblMili[[#This Row],[Release Draft]]</f>
        <v>323</v>
      </c>
      <c r="D117" s="94">
        <f ca="1">TblMili[[#This Row],[Military]]</f>
        <v>753</v>
      </c>
      <c r="E117" s="94">
        <f ca="1">TblMili[[#This Row],[Draftees]]</f>
        <v>753</v>
      </c>
      <c r="F117" s="94">
        <f ca="1">TblPop[[#This Row],[Peasants]]+TblPop[[#This Row],[Military]]</f>
        <v>1076</v>
      </c>
      <c r="G117" s="139">
        <f ca="1">TblPop[[#This Row],[Military]]/TblPop[[#This Row],[Total]]</f>
        <v>0.69981412639405205</v>
      </c>
      <c r="H117" s="140">
        <f ca="1">MIN(TblPop[[#This Row],[Peasants]],TblPop[[#This Row],[Jobs]])</f>
        <v>323</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753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1076</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7" s="94">
        <f ca="1">MAX(-5%*TblPop[[#This Row],[Peasants]]-TblPop[[#This Row],[Draft Growth]],MIN(OFFSET(TblPop[[#This Row],[Net max]],1,0)-TblPop[[#This Row],[Peasants]]-TblPop[[#This Row],[Military]]-TblPop[[#This Row],[Draft Growth]],TblPop[[#This Row],[Modded Birth]]-TblPop[[#This Row],[Draft Growth]]))</f>
        <v>-3</v>
      </c>
      <c r="X117" s="94">
        <f ca="1">ROUND(TblPop[[#This Row],[Raw Birth]]*(1+TblPop[[#This Row],[Growth]]),0)</f>
        <v>10</v>
      </c>
      <c r="Y117" s="94">
        <f ca="1">(TblPop[[#This Row],[Peasants]]-TblPop[[#This Row],[Draft Growth]])*raw_pop_growth</f>
        <v>9.6</v>
      </c>
      <c r="Z117" s="94">
        <f ca="1">ROUND(IF(TblPop[[#This Row],[Military%]]&lt;TblMili[[#This Row],[Draftrate]],ROUND(TblPop[[#This Row],[Peasants]]*Constants!$B$55,0), 0) * IF(AND(TblMagic[[#This Row],[Active DnD]]&lt;=12,TblMagic[[#This Row],[Active DnD]]&gt;6),1.5,1),0)</f>
        <v>3</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46106.499999999724</v>
      </c>
      <c r="C118" s="94">
        <f ca="1">OFFSET(TblPop[[#This Row],[Peasants]],-1,0)+OFFSET(TblPop[[#This Row],[Net Peasant]],-1,0)+TblMili[[#This Row],[Release Draft]]</f>
        <v>320</v>
      </c>
      <c r="D118" s="94">
        <f ca="1">TblMili[[#This Row],[Military]]</f>
        <v>756</v>
      </c>
      <c r="E118" s="94">
        <f ca="1">TblMili[[#This Row],[Draftees]]</f>
        <v>756</v>
      </c>
      <c r="F118" s="94">
        <f ca="1">TblPop[[#This Row],[Peasants]]+TblPop[[#This Row],[Military]]</f>
        <v>1076</v>
      </c>
      <c r="G118" s="139">
        <f ca="1">TblPop[[#This Row],[Military]]/TblPop[[#This Row],[Total]]</f>
        <v>0.70260223048327142</v>
      </c>
      <c r="H118" s="140">
        <f ca="1">MIN(TblPop[[#This Row],[Peasants]],TblPop[[#This Row],[Jobs]])</f>
        <v>320</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756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1076</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8" s="94">
        <f ca="1">MAX(-5%*TblPop[[#This Row],[Peasants]]-TblPop[[#This Row],[Draft Growth]],MIN(OFFSET(TblPop[[#This Row],[Net max]],1,0)-TblPop[[#This Row],[Peasants]]-TblPop[[#This Row],[Military]]-TblPop[[#This Row],[Draft Growth]],TblPop[[#This Row],[Modded Birth]]-TblPop[[#This Row],[Draft Growth]]))</f>
        <v>-3</v>
      </c>
      <c r="X118" s="94">
        <f ca="1">ROUND(TblPop[[#This Row],[Raw Birth]]*(1+TblPop[[#This Row],[Growth]]),0)</f>
        <v>10</v>
      </c>
      <c r="Y118" s="94">
        <f ca="1">(TblPop[[#This Row],[Peasants]]-TblPop[[#This Row],[Draft Growth]])*raw_pop_growth</f>
        <v>9.51</v>
      </c>
      <c r="Z118" s="94">
        <f ca="1">ROUND(IF(TblPop[[#This Row],[Military%]]&lt;TblMili[[#This Row],[Draftrate]],ROUND(TblPop[[#This Row],[Peasants]]*Constants!$B$55,0), 0) * IF(AND(TblMagic[[#This Row],[Active DnD]]&lt;=12,TblMagic[[#This Row],[Active DnD]]&gt;6),1.5,1),0)</f>
        <v>3</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46106.541666666388</v>
      </c>
      <c r="C119" s="94">
        <f ca="1">OFFSET(TblPop[[#This Row],[Peasants]],-1,0)+OFFSET(TblPop[[#This Row],[Net Peasant]],-1,0)+TblMili[[#This Row],[Release Draft]]</f>
        <v>317</v>
      </c>
      <c r="D119" s="94">
        <f ca="1">TblMili[[#This Row],[Military]]</f>
        <v>759</v>
      </c>
      <c r="E119" s="94">
        <f ca="1">TblMili[[#This Row],[Draftees]]</f>
        <v>759</v>
      </c>
      <c r="F119" s="94">
        <f ca="1">TblPop[[#This Row],[Peasants]]+TblPop[[#This Row],[Military]]</f>
        <v>1076</v>
      </c>
      <c r="G119" s="139">
        <f ca="1">TblPop[[#This Row],[Military]]/TblPop[[#This Row],[Total]]</f>
        <v>0.70539033457249067</v>
      </c>
      <c r="H119" s="140">
        <f ca="1">MIN(TblPop[[#This Row],[Peasants]],TblPop[[#This Row],[Jobs]])</f>
        <v>317</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759</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1076</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9" s="94">
        <f ca="1">MAX(-5%*TblPop[[#This Row],[Peasants]]-TblPop[[#This Row],[Draft Growth]],MIN(OFFSET(TblPop[[#This Row],[Net max]],1,0)-TblPop[[#This Row],[Peasants]]-TblPop[[#This Row],[Military]]-TblPop[[#This Row],[Draft Growth]],TblPop[[#This Row],[Modded Birth]]-TblPop[[#This Row],[Draft Growth]]))</f>
        <v>-3</v>
      </c>
      <c r="X119" s="94">
        <f ca="1">ROUND(TblPop[[#This Row],[Raw Birth]]*(1+TblPop[[#This Row],[Growth]]),0)</f>
        <v>9</v>
      </c>
      <c r="Y119" s="94">
        <f ca="1">(TblPop[[#This Row],[Peasants]]-TblPop[[#This Row],[Draft Growth]])*raw_pop_growth</f>
        <v>9.42</v>
      </c>
      <c r="Z119" s="94">
        <f ca="1">ROUND(IF(TblPop[[#This Row],[Military%]]&lt;TblMili[[#This Row],[Draftrate]],ROUND(TblPop[[#This Row],[Peasants]]*Constants!$B$55,0), 0) * IF(AND(TblMagic[[#This Row],[Active DnD]]&lt;=12,TblMagic[[#This Row],[Active DnD]]&gt;6),1.5,1),0)</f>
        <v>3</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46106.583333333052</v>
      </c>
      <c r="C120" s="94">
        <f ca="1">OFFSET(TblPop[[#This Row],[Peasants]],-1,0)+OFFSET(TblPop[[#This Row],[Net Peasant]],-1,0)+TblMili[[#This Row],[Release Draft]]</f>
        <v>314</v>
      </c>
      <c r="D120" s="94">
        <f ca="1">TblMili[[#This Row],[Military]]</f>
        <v>762</v>
      </c>
      <c r="E120" s="94">
        <f ca="1">TblMili[[#This Row],[Draftees]]</f>
        <v>762</v>
      </c>
      <c r="F120" s="94">
        <f ca="1">TblPop[[#This Row],[Peasants]]+TblPop[[#This Row],[Military]]</f>
        <v>1076</v>
      </c>
      <c r="G120" s="139">
        <f ca="1">TblPop[[#This Row],[Military]]/TblPop[[#This Row],[Total]]</f>
        <v>0.70817843866171004</v>
      </c>
      <c r="H120" s="140">
        <f ca="1">MIN(TblPop[[#This Row],[Peasants]],TblPop[[#This Row],[Jobs]])</f>
        <v>314</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762</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1076</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0" s="94">
        <f ca="1">MAX(-5%*TblPop[[#This Row],[Peasants]]-TblPop[[#This Row],[Draft Growth]],MIN(OFFSET(TblPop[[#This Row],[Net max]],1,0)-TblPop[[#This Row],[Peasants]]-TblPop[[#This Row],[Military]]-TblPop[[#This Row],[Draft Growth]],TblPop[[#This Row],[Modded Birth]]-TblPop[[#This Row],[Draft Growth]]))</f>
        <v>-3</v>
      </c>
      <c r="X120" s="94">
        <f ca="1">ROUND(TblPop[[#This Row],[Raw Birth]]*(1+TblPop[[#This Row],[Growth]]),0)</f>
        <v>9</v>
      </c>
      <c r="Y120" s="94">
        <f ca="1">(TblPop[[#This Row],[Peasants]]-TblPop[[#This Row],[Draft Growth]])*raw_pop_growth</f>
        <v>9.33</v>
      </c>
      <c r="Z120" s="94">
        <f ca="1">ROUND(IF(TblPop[[#This Row],[Military%]]&lt;TblMili[[#This Row],[Draftrate]],ROUND(TblPop[[#This Row],[Peasants]]*Constants!$B$55,0), 0) * IF(AND(TblMagic[[#This Row],[Active DnD]]&lt;=12,TblMagic[[#This Row],[Active DnD]]&gt;6),1.5,1),0)</f>
        <v>3</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46106.624999999716</v>
      </c>
      <c r="C121" s="94">
        <f ca="1">OFFSET(TblPop[[#This Row],[Peasants]],-1,0)+OFFSET(TblPop[[#This Row],[Net Peasant]],-1,0)+TblMili[[#This Row],[Release Draft]]</f>
        <v>311</v>
      </c>
      <c r="D121" s="94">
        <f ca="1">TblMili[[#This Row],[Military]]</f>
        <v>765</v>
      </c>
      <c r="E121" s="94">
        <f ca="1">TblMili[[#This Row],[Draftees]]</f>
        <v>765</v>
      </c>
      <c r="F121" s="94">
        <f ca="1">TblPop[[#This Row],[Peasants]]+TblPop[[#This Row],[Military]]</f>
        <v>1076</v>
      </c>
      <c r="G121" s="139">
        <f ca="1">TblPop[[#This Row],[Military]]/TblPop[[#This Row],[Total]]</f>
        <v>0.71096654275092941</v>
      </c>
      <c r="H121" s="140">
        <f ca="1">MIN(TblPop[[#This Row],[Peasants]],TblPop[[#This Row],[Jobs]])</f>
        <v>311</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765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1076</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1" s="94">
        <f ca="1">MAX(-5%*TblPop[[#This Row],[Peasants]]-TblPop[[#This Row],[Draft Growth]],MIN(OFFSET(TblPop[[#This Row],[Net max]],1,0)-TblPop[[#This Row],[Peasants]]-TblPop[[#This Row],[Military]]-TblPop[[#This Row],[Draft Growth]],TblPop[[#This Row],[Modded Birth]]-TblPop[[#This Row],[Draft Growth]]))</f>
        <v>-3</v>
      </c>
      <c r="X121" s="94">
        <f ca="1">ROUND(TblPop[[#This Row],[Raw Birth]]*(1+TblPop[[#This Row],[Growth]]),0)</f>
        <v>9</v>
      </c>
      <c r="Y121" s="94">
        <f ca="1">(TblPop[[#This Row],[Peasants]]-TblPop[[#This Row],[Draft Growth]])*raw_pop_growth</f>
        <v>9.24</v>
      </c>
      <c r="Z121" s="94">
        <f ca="1">ROUND(IF(TblPop[[#This Row],[Military%]]&lt;TblMili[[#This Row],[Draftrate]],ROUND(TblPop[[#This Row],[Peasants]]*Constants!$B$55,0), 0) * IF(AND(TblMagic[[#This Row],[Active DnD]]&lt;=12,TblMagic[[#This Row],[Active DnD]]&gt;6),1.5,1),0)</f>
        <v>3</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46106.66666666638</v>
      </c>
      <c r="C122" s="94">
        <f ca="1">OFFSET(TblPop[[#This Row],[Peasants]],-1,0)+OFFSET(TblPop[[#This Row],[Net Peasant]],-1,0)+TblMili[[#This Row],[Release Draft]]</f>
        <v>308</v>
      </c>
      <c r="D122" s="94">
        <f ca="1">TblMili[[#This Row],[Military]]</f>
        <v>768</v>
      </c>
      <c r="E122" s="94">
        <f ca="1">TblMili[[#This Row],[Draftees]]</f>
        <v>768</v>
      </c>
      <c r="F122" s="94">
        <f ca="1">TblPop[[#This Row],[Peasants]]+TblPop[[#This Row],[Military]]</f>
        <v>1076</v>
      </c>
      <c r="G122" s="139">
        <f ca="1">TblPop[[#This Row],[Military]]/TblPop[[#This Row],[Total]]</f>
        <v>0.71375464684014867</v>
      </c>
      <c r="H122" s="140">
        <f ca="1">MIN(TblPop[[#This Row],[Peasants]],TblPop[[#This Row],[Jobs]])</f>
        <v>308</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768</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1076</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2" s="94">
        <f ca="1">MAX(-5%*TblPop[[#This Row],[Peasants]]-TblPop[[#This Row],[Draft Growth]],MIN(OFFSET(TblPop[[#This Row],[Net max]],1,0)-TblPop[[#This Row],[Peasants]]-TblPop[[#This Row],[Military]]-TblPop[[#This Row],[Draft Growth]],TblPop[[#This Row],[Modded Birth]]-TblPop[[#This Row],[Draft Growth]]))</f>
        <v>-3</v>
      </c>
      <c r="X122" s="94">
        <f ca="1">ROUND(TblPop[[#This Row],[Raw Birth]]*(1+TblPop[[#This Row],[Growth]]),0)</f>
        <v>9</v>
      </c>
      <c r="Y122" s="94">
        <f ca="1">(TblPop[[#This Row],[Peasants]]-TblPop[[#This Row],[Draft Growth]])*raw_pop_growth</f>
        <v>9.15</v>
      </c>
      <c r="Z122" s="94">
        <f ca="1">ROUND(IF(TblPop[[#This Row],[Military%]]&lt;TblMili[[#This Row],[Draftrate]],ROUND(TblPop[[#This Row],[Peasants]]*Constants!$B$55,0), 0) * IF(AND(TblMagic[[#This Row],[Active DnD]]&lt;=12,TblMagic[[#This Row],[Active DnD]]&gt;6),1.5,1),0)</f>
        <v>3</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46106.708333333045</v>
      </c>
      <c r="C123" s="94">
        <f ca="1">OFFSET(TblPop[[#This Row],[Peasants]],-1,0)+OFFSET(TblPop[[#This Row],[Net Peasant]],-1,0)+TblMili[[#This Row],[Release Draft]]</f>
        <v>305</v>
      </c>
      <c r="D123" s="94">
        <f ca="1">TblMili[[#This Row],[Military]]</f>
        <v>771</v>
      </c>
      <c r="E123" s="94">
        <f ca="1">TblMili[[#This Row],[Draftees]]</f>
        <v>771</v>
      </c>
      <c r="F123" s="94">
        <f ca="1">TblPop[[#This Row],[Peasants]]+TblPop[[#This Row],[Military]]</f>
        <v>1076</v>
      </c>
      <c r="G123" s="139">
        <f ca="1">TblPop[[#This Row],[Military]]/TblPop[[#This Row],[Total]]</f>
        <v>0.71654275092936803</v>
      </c>
      <c r="H123" s="140">
        <f ca="1">MIN(TblPop[[#This Row],[Peasants]],TblPop[[#This Row],[Jobs]])</f>
        <v>305</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771</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1076</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3" s="94">
        <f ca="1">MAX(-5%*TblPop[[#This Row],[Peasants]]-TblPop[[#This Row],[Draft Growth]],MIN(OFFSET(TblPop[[#This Row],[Net max]],1,0)-TblPop[[#This Row],[Peasants]]-TblPop[[#This Row],[Military]]-TblPop[[#This Row],[Draft Growth]],TblPop[[#This Row],[Modded Birth]]-TblPop[[#This Row],[Draft Growth]]))</f>
        <v>-3</v>
      </c>
      <c r="X123" s="94">
        <f ca="1">ROUND(TblPop[[#This Row],[Raw Birth]]*(1+TblPop[[#This Row],[Growth]]),0)</f>
        <v>9</v>
      </c>
      <c r="Y123" s="94">
        <f ca="1">(TblPop[[#This Row],[Peasants]]-TblPop[[#This Row],[Draft Growth]])*raw_pop_growth</f>
        <v>9.06</v>
      </c>
      <c r="Z123" s="94">
        <f ca="1">ROUND(IF(TblPop[[#This Row],[Military%]]&lt;TblMili[[#This Row],[Draftrate]],ROUND(TblPop[[#This Row],[Peasants]]*Constants!$B$55,0), 0) * IF(AND(TblMagic[[#This Row],[Active DnD]]&lt;=12,TblMagic[[#This Row],[Active DnD]]&gt;6),1.5,1),0)</f>
        <v>3</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46106.749999999709</v>
      </c>
      <c r="C124" s="94">
        <f ca="1">OFFSET(TblPop[[#This Row],[Peasants]],-1,0)+OFFSET(TblPop[[#This Row],[Net Peasant]],-1,0)+TblMili[[#This Row],[Release Draft]]</f>
        <v>302</v>
      </c>
      <c r="D124" s="94">
        <f ca="1">TblMili[[#This Row],[Military]]</f>
        <v>774</v>
      </c>
      <c r="E124" s="94">
        <f ca="1">TblMili[[#This Row],[Draftees]]</f>
        <v>774</v>
      </c>
      <c r="F124" s="94">
        <f ca="1">TblPop[[#This Row],[Peasants]]+TblPop[[#This Row],[Military]]</f>
        <v>1076</v>
      </c>
      <c r="G124" s="139">
        <f ca="1">TblPop[[#This Row],[Military]]/TblPop[[#This Row],[Total]]</f>
        <v>0.7193308550185874</v>
      </c>
      <c r="H124" s="140">
        <f ca="1">MIN(TblPop[[#This Row],[Peasants]],TblPop[[#This Row],[Jobs]])</f>
        <v>302</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774</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1076</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4" s="94">
        <f ca="1">MAX(-5%*TblPop[[#This Row],[Peasants]]-TblPop[[#This Row],[Draft Growth]],MIN(OFFSET(TblPop[[#This Row],[Net max]],1,0)-TblPop[[#This Row],[Peasants]]-TblPop[[#This Row],[Military]]-TblPop[[#This Row],[Draft Growth]],TblPop[[#This Row],[Modded Birth]]-TblPop[[#This Row],[Draft Growth]]))</f>
        <v>-3</v>
      </c>
      <c r="X124" s="94">
        <f ca="1">ROUND(TblPop[[#This Row],[Raw Birth]]*(1+TblPop[[#This Row],[Growth]]),0)</f>
        <v>9</v>
      </c>
      <c r="Y124" s="94">
        <f ca="1">(TblPop[[#This Row],[Peasants]]-TblPop[[#This Row],[Draft Growth]])*raw_pop_growth</f>
        <v>8.9699999999999989</v>
      </c>
      <c r="Z124" s="94">
        <f ca="1">ROUND(IF(TblPop[[#This Row],[Military%]]&lt;TblMili[[#This Row],[Draftrate]],ROUND(TblPop[[#This Row],[Peasants]]*Constants!$B$55,0), 0) * IF(AND(TblMagic[[#This Row],[Active DnD]]&lt;=12,TblMagic[[#This Row],[Active DnD]]&gt;6),1.5,1),0)</f>
        <v>3</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46106.791666666373</v>
      </c>
      <c r="C125" s="94">
        <f ca="1">OFFSET(TblPop[[#This Row],[Peasants]],-1,0)+OFFSET(TblPop[[#This Row],[Net Peasant]],-1,0)+TblMili[[#This Row],[Release Draft]]</f>
        <v>299</v>
      </c>
      <c r="D125" s="94">
        <f ca="1">TblMili[[#This Row],[Military]]</f>
        <v>777</v>
      </c>
      <c r="E125" s="94">
        <f ca="1">TblMili[[#This Row],[Draftees]]</f>
        <v>777</v>
      </c>
      <c r="F125" s="94">
        <f ca="1">TblPop[[#This Row],[Peasants]]+TblPop[[#This Row],[Military]]</f>
        <v>1076</v>
      </c>
      <c r="G125" s="139">
        <f ca="1">TblPop[[#This Row],[Military]]/TblPop[[#This Row],[Total]]</f>
        <v>0.72211895910780666</v>
      </c>
      <c r="H125" s="140">
        <f ca="1">MIN(TblPop[[#This Row],[Peasants]],TblPop[[#This Row],[Jobs]])</f>
        <v>299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777</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1076</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5" s="94">
        <f ca="1">MAX(-5%*TblPop[[#This Row],[Peasants]]-TblPop[[#This Row],[Draft Growth]],MIN(OFFSET(TblPop[[#This Row],[Net max]],1,0)-TblPop[[#This Row],[Peasants]]-TblPop[[#This Row],[Military]]-TblPop[[#This Row],[Draft Growth]],TblPop[[#This Row],[Modded Birth]]-TblPop[[#This Row],[Draft Growth]]))</f>
        <v>-3</v>
      </c>
      <c r="X125" s="94">
        <f ca="1">ROUND(TblPop[[#This Row],[Raw Birth]]*(1+TblPop[[#This Row],[Growth]]),0)</f>
        <v>9</v>
      </c>
      <c r="Y125" s="94">
        <f ca="1">(TblPop[[#This Row],[Peasants]]-TblPop[[#This Row],[Draft Growth]])*raw_pop_growth</f>
        <v>8.879999999999999</v>
      </c>
      <c r="Z125" s="94">
        <f ca="1">ROUND(IF(TblPop[[#This Row],[Military%]]&lt;TblMili[[#This Row],[Draftrate]],ROUND(TblPop[[#This Row],[Peasants]]*Constants!$B$55,0), 0) * IF(AND(TblMagic[[#This Row],[Active DnD]]&lt;=12,TblMagic[[#This Row],[Active DnD]]&gt;6),1.5,1),0)</f>
        <v>3</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46106.833333333037</v>
      </c>
      <c r="C126" s="94">
        <f ca="1">OFFSET(TblPop[[#This Row],[Peasants]],-1,0)+OFFSET(TblPop[[#This Row],[Net Peasant]],-1,0)+TblMili[[#This Row],[Release Draft]]</f>
        <v>296</v>
      </c>
      <c r="D126" s="94">
        <f ca="1">TblMili[[#This Row],[Military]]</f>
        <v>780</v>
      </c>
      <c r="E126" s="94">
        <f ca="1">TblMili[[#This Row],[Draftees]]</f>
        <v>780</v>
      </c>
      <c r="F126" s="94">
        <f ca="1">TblPop[[#This Row],[Peasants]]+TblPop[[#This Row],[Military]]</f>
        <v>1076</v>
      </c>
      <c r="G126" s="139">
        <f ca="1">TblPop[[#This Row],[Military]]/TblPop[[#This Row],[Total]]</f>
        <v>0.72490706319702602</v>
      </c>
      <c r="H126" s="140">
        <f ca="1">MIN(TblPop[[#This Row],[Peasants]],TblPop[[#This Row],[Jobs]])</f>
        <v>296</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780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1076</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6" s="94">
        <f ca="1">MAX(-5%*TblPop[[#This Row],[Peasants]]-TblPop[[#This Row],[Draft Growth]],MIN(OFFSET(TblPop[[#This Row],[Net max]],1,0)-TblPop[[#This Row],[Peasants]]-TblPop[[#This Row],[Military]]-TblPop[[#This Row],[Draft Growth]],TblPop[[#This Row],[Modded Birth]]-TblPop[[#This Row],[Draft Growth]]))</f>
        <v>-3</v>
      </c>
      <c r="X126" s="94">
        <f ca="1">ROUND(TblPop[[#This Row],[Raw Birth]]*(1+TblPop[[#This Row],[Growth]]),0)</f>
        <v>9</v>
      </c>
      <c r="Y126" s="94">
        <f ca="1">(TblPop[[#This Row],[Peasants]]-TblPop[[#This Row],[Draft Growth]])*raw_pop_growth</f>
        <v>8.7899999999999991</v>
      </c>
      <c r="Z126" s="94">
        <f ca="1">ROUND(IF(TblPop[[#This Row],[Military%]]&lt;TblMili[[#This Row],[Draftrate]],ROUND(TblPop[[#This Row],[Peasants]]*Constants!$B$55,0), 0) * IF(AND(TblMagic[[#This Row],[Active DnD]]&lt;=12,TblMagic[[#This Row],[Active DnD]]&gt;6),1.5,1),0)</f>
        <v>3</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46106.874999999702</v>
      </c>
      <c r="C127" s="94">
        <f ca="1">OFFSET(TblPop[[#This Row],[Peasants]],-1,0)+OFFSET(TblPop[[#This Row],[Net Peasant]],-1,0)+TblMili[[#This Row],[Release Draft]]</f>
        <v>293</v>
      </c>
      <c r="D127" s="94">
        <f ca="1">TblMili[[#This Row],[Military]]</f>
        <v>783</v>
      </c>
      <c r="E127" s="94">
        <f ca="1">TblMili[[#This Row],[Draftees]]</f>
        <v>783</v>
      </c>
      <c r="F127" s="94">
        <f ca="1">TblPop[[#This Row],[Peasants]]+TblPop[[#This Row],[Military]]</f>
        <v>1076</v>
      </c>
      <c r="G127" s="139">
        <f ca="1">TblPop[[#This Row],[Military]]/TblPop[[#This Row],[Total]]</f>
        <v>0.72769516728624539</v>
      </c>
      <c r="H127" s="140">
        <f ca="1">MIN(TblPop[[#This Row],[Peasants]],TblPop[[#This Row],[Jobs]])</f>
        <v>293</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783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1076</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7" s="94">
        <f ca="1">MAX(-5%*TblPop[[#This Row],[Peasants]]-TblPop[[#This Row],[Draft Growth]],MIN(OFFSET(TblPop[[#This Row],[Net max]],1,0)-TblPop[[#This Row],[Peasants]]-TblPop[[#This Row],[Military]]-TblPop[[#This Row],[Draft Growth]],TblPop[[#This Row],[Modded Birth]]-TblPop[[#This Row],[Draft Growth]]))</f>
        <v>-3</v>
      </c>
      <c r="X127" s="94">
        <f ca="1">ROUND(TblPop[[#This Row],[Raw Birth]]*(1+TblPop[[#This Row],[Growth]]),0)</f>
        <v>9</v>
      </c>
      <c r="Y127" s="94">
        <f ca="1">(TblPop[[#This Row],[Peasants]]-TblPop[[#This Row],[Draft Growth]])*raw_pop_growth</f>
        <v>8.6999999999999993</v>
      </c>
      <c r="Z127" s="94">
        <f ca="1">ROUND(IF(TblPop[[#This Row],[Military%]]&lt;TblMili[[#This Row],[Draftrate]],ROUND(TblPop[[#This Row],[Peasants]]*Constants!$B$55,0), 0) * IF(AND(TblMagic[[#This Row],[Active DnD]]&lt;=12,TblMagic[[#This Row],[Active DnD]]&gt;6),1.5,1),0)</f>
        <v>3</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46106.916666666366</v>
      </c>
      <c r="C128" s="94">
        <f ca="1">OFFSET(TblPop[[#This Row],[Peasants]],-1,0)+OFFSET(TblPop[[#This Row],[Net Peasant]],-1,0)+TblMili[[#This Row],[Release Draft]]</f>
        <v>290</v>
      </c>
      <c r="D128" s="94">
        <f ca="1">TblMili[[#This Row],[Military]]</f>
        <v>786</v>
      </c>
      <c r="E128" s="94">
        <f ca="1">TblMili[[#This Row],[Draftees]]</f>
        <v>786</v>
      </c>
      <c r="F128" s="94">
        <f ca="1">TblPop[[#This Row],[Peasants]]+TblPop[[#This Row],[Military]]</f>
        <v>1076</v>
      </c>
      <c r="G128" s="139">
        <f ca="1">TblPop[[#This Row],[Military]]/TblPop[[#This Row],[Total]]</f>
        <v>0.73048327137546465</v>
      </c>
      <c r="H128" s="140">
        <f ca="1">MIN(TblPop[[#This Row],[Peasants]],TblPop[[#This Row],[Jobs]])</f>
        <v>290</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786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1076</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8" s="94">
        <f ca="1">MAX(-5%*TblPop[[#This Row],[Peasants]]-TblPop[[#This Row],[Draft Growth]],MIN(OFFSET(TblPop[[#This Row],[Net max]],1,0)-TblPop[[#This Row],[Peasants]]-TblPop[[#This Row],[Military]]-TblPop[[#This Row],[Draft Growth]],TblPop[[#This Row],[Modded Birth]]-TblPop[[#This Row],[Draft Growth]]))</f>
        <v>-3</v>
      </c>
      <c r="X128" s="94">
        <f ca="1">ROUND(TblPop[[#This Row],[Raw Birth]]*(1+TblPop[[#This Row],[Growth]]),0)</f>
        <v>9</v>
      </c>
      <c r="Y128" s="94">
        <f ca="1">(TblPop[[#This Row],[Peasants]]-TblPop[[#This Row],[Draft Growth]])*raw_pop_growth</f>
        <v>8.61</v>
      </c>
      <c r="Z128" s="94">
        <f ca="1">ROUND(IF(TblPop[[#This Row],[Military%]]&lt;TblMili[[#This Row],[Draftrate]],ROUND(TblPop[[#This Row],[Peasants]]*Constants!$B$55,0), 0) * IF(AND(TblMagic[[#This Row],[Active DnD]]&lt;=12,TblMagic[[#This Row],[Active DnD]]&gt;6),1.5,1),0)</f>
        <v>3</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46106.95833333303</v>
      </c>
      <c r="C129" s="94">
        <f ca="1">OFFSET(TblPop[[#This Row],[Peasants]],-1,0)+OFFSET(TblPop[[#This Row],[Net Peasant]],-1,0)+TblMili[[#This Row],[Release Draft]]</f>
        <v>287</v>
      </c>
      <c r="D129" s="94">
        <f ca="1">TblMili[[#This Row],[Military]]</f>
        <v>789</v>
      </c>
      <c r="E129" s="94">
        <f ca="1">TblMili[[#This Row],[Draftees]]</f>
        <v>789</v>
      </c>
      <c r="F129" s="94">
        <f ca="1">TblPop[[#This Row],[Peasants]]+TblPop[[#This Row],[Military]]</f>
        <v>1076</v>
      </c>
      <c r="G129" s="139">
        <f ca="1">TblPop[[#This Row],[Military]]/TblPop[[#This Row],[Total]]</f>
        <v>0.73327137546468402</v>
      </c>
      <c r="H129" s="140">
        <f ca="1">MIN(TblPop[[#This Row],[Peasants]],TblPop[[#This Row],[Jobs]])</f>
        <v>287</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789</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1076</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9" s="94">
        <f ca="1">MAX(-5%*TblPop[[#This Row],[Peasants]]-TblPop[[#This Row],[Draft Growth]],MIN(OFFSET(TblPop[[#This Row],[Net max]],1,0)-TblPop[[#This Row],[Peasants]]-TblPop[[#This Row],[Military]]-TblPop[[#This Row],[Draft Growth]],TblPop[[#This Row],[Modded Birth]]-TblPop[[#This Row],[Draft Growth]]))</f>
        <v>-3</v>
      </c>
      <c r="X129" s="94">
        <f ca="1">ROUND(TblPop[[#This Row],[Raw Birth]]*(1+TblPop[[#This Row],[Growth]]),0)</f>
        <v>9</v>
      </c>
      <c r="Y129" s="94">
        <f ca="1">(TblPop[[#This Row],[Peasants]]-TblPop[[#This Row],[Draft Growth]])*raw_pop_growth</f>
        <v>8.52</v>
      </c>
      <c r="Z129" s="94">
        <f ca="1">ROUND(IF(TblPop[[#This Row],[Military%]]&lt;TblMili[[#This Row],[Draftrate]],ROUND(TblPop[[#This Row],[Peasants]]*Constants!$B$55,0), 0) * IF(AND(TblMagic[[#This Row],[Active DnD]]&lt;=12,TblMagic[[#This Row],[Active DnD]]&gt;6),1.5,1),0)</f>
        <v>3</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46106.999999999694</v>
      </c>
      <c r="C130" s="94">
        <f ca="1">OFFSET(TblPop[[#This Row],[Peasants]],-1,0)+OFFSET(TblPop[[#This Row],[Net Peasant]],-1,0)+TblMili[[#This Row],[Release Draft]]</f>
        <v>284</v>
      </c>
      <c r="D130" s="94">
        <f ca="1">TblMili[[#This Row],[Military]]</f>
        <v>792</v>
      </c>
      <c r="E130" s="94">
        <f ca="1">TblMili[[#This Row],[Draftees]]</f>
        <v>792</v>
      </c>
      <c r="F130" s="94">
        <f ca="1">TblPop[[#This Row],[Peasants]]+TblPop[[#This Row],[Military]]</f>
        <v>1076</v>
      </c>
      <c r="G130" s="139">
        <f ca="1">TblPop[[#This Row],[Military]]/TblPop[[#This Row],[Total]]</f>
        <v>0.73605947955390338</v>
      </c>
      <c r="H130" s="140">
        <f ca="1">MIN(TblPop[[#This Row],[Peasants]],TblPop[[#This Row],[Jobs]])</f>
        <v>284</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792</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1076</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0" s="94">
        <f ca="1">MAX(-5%*TblPop[[#This Row],[Peasants]]-TblPop[[#This Row],[Draft Growth]],MIN(OFFSET(TblPop[[#This Row],[Net max]],1,0)-TblPop[[#This Row],[Peasants]]-TblPop[[#This Row],[Military]]-TblPop[[#This Row],[Draft Growth]],TblPop[[#This Row],[Modded Birth]]-TblPop[[#This Row],[Draft Growth]]))</f>
        <v>-3</v>
      </c>
      <c r="X130" s="94">
        <f ca="1">ROUND(TblPop[[#This Row],[Raw Birth]]*(1+TblPop[[#This Row],[Growth]]),0)</f>
        <v>8</v>
      </c>
      <c r="Y130" s="94">
        <f ca="1">(TblPop[[#This Row],[Peasants]]-TblPop[[#This Row],[Draft Growth]])*raw_pop_growth</f>
        <v>8.43</v>
      </c>
      <c r="Z130" s="94">
        <f ca="1">ROUND(IF(TblPop[[#This Row],[Military%]]&lt;TblMili[[#This Row],[Draftrate]],ROUND(TblPop[[#This Row],[Peasants]]*Constants!$B$55,0), 0) * IF(AND(TblMagic[[#This Row],[Active DnD]]&lt;=12,TblMagic[[#This Row],[Active DnD]]&gt;6),1.5,1),0)</f>
        <v>3</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46107.041666666359</v>
      </c>
      <c r="C131" s="94">
        <f ca="1">OFFSET(TblPop[[#This Row],[Peasants]],-1,0)+OFFSET(TblPop[[#This Row],[Net Peasant]],-1,0)+TblMili[[#This Row],[Release Draft]]</f>
        <v>281</v>
      </c>
      <c r="D131" s="94">
        <f ca="1">TblMili[[#This Row],[Military]]</f>
        <v>795</v>
      </c>
      <c r="E131" s="94">
        <f ca="1">TblMili[[#This Row],[Draftees]]</f>
        <v>795</v>
      </c>
      <c r="F131" s="94">
        <f ca="1">TblPop[[#This Row],[Peasants]]+TblPop[[#This Row],[Military]]</f>
        <v>1076</v>
      </c>
      <c r="G131" s="139">
        <f ca="1">TblPop[[#This Row],[Military]]/TblPop[[#This Row],[Total]]</f>
        <v>0.73884758364312264</v>
      </c>
      <c r="H131" s="140">
        <f ca="1">MIN(TblPop[[#This Row],[Peasants]],TblPop[[#This Row],[Jobs]])</f>
        <v>281</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795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1076</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1" s="94">
        <f ca="1">MAX(-5%*TblPop[[#This Row],[Peasants]]-TblPop[[#This Row],[Draft Growth]],MIN(OFFSET(TblPop[[#This Row],[Net max]],1,0)-TblPop[[#This Row],[Peasants]]-TblPop[[#This Row],[Military]]-TblPop[[#This Row],[Draft Growth]],TblPop[[#This Row],[Modded Birth]]-TblPop[[#This Row],[Draft Growth]]))</f>
        <v>-3</v>
      </c>
      <c r="X131" s="94">
        <f ca="1">ROUND(TblPop[[#This Row],[Raw Birth]]*(1+TblPop[[#This Row],[Growth]]),0)</f>
        <v>8</v>
      </c>
      <c r="Y131" s="94">
        <f ca="1">(TblPop[[#This Row],[Peasants]]-TblPop[[#This Row],[Draft Growth]])*raw_pop_growth</f>
        <v>8.34</v>
      </c>
      <c r="Z131" s="94">
        <f ca="1">ROUND(IF(TblPop[[#This Row],[Military%]]&lt;TblMili[[#This Row],[Draftrate]],ROUND(TblPop[[#This Row],[Peasants]]*Constants!$B$55,0), 0) * IF(AND(TblMagic[[#This Row],[Active DnD]]&lt;=12,TblMagic[[#This Row],[Active DnD]]&gt;6),1.5,1),0)</f>
        <v>3</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46107.083333333023</v>
      </c>
      <c r="C132" s="94">
        <f ca="1">OFFSET(TblPop[[#This Row],[Peasants]],-1,0)+OFFSET(TblPop[[#This Row],[Net Peasant]],-1,0)+TblMili[[#This Row],[Release Draft]]</f>
        <v>278</v>
      </c>
      <c r="D132" s="94">
        <f ca="1">TblMili[[#This Row],[Military]]</f>
        <v>798</v>
      </c>
      <c r="E132" s="94">
        <f ca="1">TblMili[[#This Row],[Draftees]]</f>
        <v>798</v>
      </c>
      <c r="F132" s="94">
        <f ca="1">TblPop[[#This Row],[Peasants]]+TblPop[[#This Row],[Military]]</f>
        <v>1076</v>
      </c>
      <c r="G132" s="139">
        <f ca="1">TblPop[[#This Row],[Military]]/TblPop[[#This Row],[Total]]</f>
        <v>0.74163568773234201</v>
      </c>
      <c r="H132" s="140">
        <f ca="1">MIN(TblPop[[#This Row],[Peasants]],TblPop[[#This Row],[Jobs]])</f>
        <v>278</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798</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1076</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2" s="94">
        <f ca="1">MAX(-5%*TblPop[[#This Row],[Peasants]]-TblPop[[#This Row],[Draft Growth]],MIN(OFFSET(TblPop[[#This Row],[Net max]],1,0)-TblPop[[#This Row],[Peasants]]-TblPop[[#This Row],[Military]]-TblPop[[#This Row],[Draft Growth]],TblPop[[#This Row],[Modded Birth]]-TblPop[[#This Row],[Draft Growth]]))</f>
        <v>-3</v>
      </c>
      <c r="X132" s="94">
        <f ca="1">ROUND(TblPop[[#This Row],[Raw Birth]]*(1+TblPop[[#This Row],[Growth]]),0)</f>
        <v>8</v>
      </c>
      <c r="Y132" s="94">
        <f ca="1">(TblPop[[#This Row],[Peasants]]-TblPop[[#This Row],[Draft Growth]])*raw_pop_growth</f>
        <v>8.25</v>
      </c>
      <c r="Z132" s="94">
        <f ca="1">ROUND(IF(TblPop[[#This Row],[Military%]]&lt;TblMili[[#This Row],[Draftrate]],ROUND(TblPop[[#This Row],[Peasants]]*Constants!$B$55,0), 0) * IF(AND(TblMagic[[#This Row],[Active DnD]]&lt;=12,TblMagic[[#This Row],[Active DnD]]&gt;6),1.5,1),0)</f>
        <v>3</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46107.124999999687</v>
      </c>
      <c r="C133" s="94">
        <f ca="1">OFFSET(TblPop[[#This Row],[Peasants]],-1,0)+OFFSET(TblPop[[#This Row],[Net Peasant]],-1,0)+TblMili[[#This Row],[Release Draft]]</f>
        <v>275</v>
      </c>
      <c r="D133" s="94">
        <f ca="1">TblMili[[#This Row],[Military]]</f>
        <v>801</v>
      </c>
      <c r="E133" s="94">
        <f ca="1">TblMili[[#This Row],[Draftees]]</f>
        <v>801</v>
      </c>
      <c r="F133" s="94">
        <f ca="1">TblPop[[#This Row],[Peasants]]+TblPop[[#This Row],[Military]]</f>
        <v>1076</v>
      </c>
      <c r="G133" s="139">
        <f ca="1">TblPop[[#This Row],[Military]]/TblPop[[#This Row],[Total]]</f>
        <v>0.74442379182156138</v>
      </c>
      <c r="H133" s="140">
        <f ca="1">MIN(TblPop[[#This Row],[Peasants]],TblPop[[#This Row],[Jobs]])</f>
        <v>275</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801</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1076</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3" s="94">
        <f ca="1">MAX(-5%*TblPop[[#This Row],[Peasants]]-TblPop[[#This Row],[Draft Growth]],MIN(OFFSET(TblPop[[#This Row],[Net max]],1,0)-TblPop[[#This Row],[Peasants]]-TblPop[[#This Row],[Military]]-TblPop[[#This Row],[Draft Growth]],TblPop[[#This Row],[Modded Birth]]-TblPop[[#This Row],[Draft Growth]]))</f>
        <v>-3</v>
      </c>
      <c r="X133" s="94">
        <f ca="1">ROUND(TblPop[[#This Row],[Raw Birth]]*(1+TblPop[[#This Row],[Growth]]),0)</f>
        <v>8</v>
      </c>
      <c r="Y133" s="94">
        <f ca="1">(TblPop[[#This Row],[Peasants]]-TblPop[[#This Row],[Draft Growth]])*raw_pop_growth</f>
        <v>8.16</v>
      </c>
      <c r="Z133" s="94">
        <f ca="1">ROUND(IF(TblPop[[#This Row],[Military%]]&lt;TblMili[[#This Row],[Draftrate]],ROUND(TblPop[[#This Row],[Peasants]]*Constants!$B$55,0), 0) * IF(AND(TblMagic[[#This Row],[Active DnD]]&lt;=12,TblMagic[[#This Row],[Active DnD]]&gt;6),1.5,1),0)</f>
        <v>3</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46107.166666666351</v>
      </c>
      <c r="C134" s="94">
        <f ca="1">OFFSET(TblPop[[#This Row],[Peasants]],-1,0)+OFFSET(TblPop[[#This Row],[Net Peasant]],-1,0)+TblMili[[#This Row],[Release Draft]]</f>
        <v>272</v>
      </c>
      <c r="D134" s="94">
        <f ca="1">TblMili[[#This Row],[Military]]</f>
        <v>804</v>
      </c>
      <c r="E134" s="94">
        <f ca="1">TblMili[[#This Row],[Draftees]]</f>
        <v>804</v>
      </c>
      <c r="F134" s="94">
        <f ca="1">TblPop[[#This Row],[Peasants]]+TblPop[[#This Row],[Military]]</f>
        <v>1076</v>
      </c>
      <c r="G134" s="139">
        <f ca="1">TblPop[[#This Row],[Military]]/TblPop[[#This Row],[Total]]</f>
        <v>0.74721189591078063</v>
      </c>
      <c r="H134" s="140">
        <f ca="1">MIN(TblPop[[#This Row],[Peasants]],TblPop[[#This Row],[Jobs]])</f>
        <v>272</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804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1076</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4" s="94">
        <f ca="1">MAX(-5%*TblPop[[#This Row],[Peasants]]-TblPop[[#This Row],[Draft Growth]],MIN(OFFSET(TblPop[[#This Row],[Net max]],1,0)-TblPop[[#This Row],[Peasants]]-TblPop[[#This Row],[Military]]-TblPop[[#This Row],[Draft Growth]],TblPop[[#This Row],[Modded Birth]]-TblPop[[#This Row],[Draft Growth]]))</f>
        <v>-3</v>
      </c>
      <c r="X134" s="94">
        <f ca="1">ROUND(TblPop[[#This Row],[Raw Birth]]*(1+TblPop[[#This Row],[Growth]]),0)</f>
        <v>8</v>
      </c>
      <c r="Y134" s="94">
        <f ca="1">(TblPop[[#This Row],[Peasants]]-TblPop[[#This Row],[Draft Growth]])*raw_pop_growth</f>
        <v>8.07</v>
      </c>
      <c r="Z134" s="94">
        <f ca="1">ROUND(IF(TblPop[[#This Row],[Military%]]&lt;TblMili[[#This Row],[Draftrate]],ROUND(TblPop[[#This Row],[Peasants]]*Constants!$B$55,0), 0) * IF(AND(TblMagic[[#This Row],[Active DnD]]&lt;=12,TblMagic[[#This Row],[Active DnD]]&gt;6),1.5,1),0)</f>
        <v>3</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46107.208333333016</v>
      </c>
      <c r="C135" s="94">
        <f ca="1">OFFSET(TblPop[[#This Row],[Peasants]],-1,0)+OFFSET(TblPop[[#This Row],[Net Peasant]],-1,0)+TblMili[[#This Row],[Release Draft]]</f>
        <v>269</v>
      </c>
      <c r="D135" s="94">
        <f ca="1">TblMili[[#This Row],[Military]]</f>
        <v>807</v>
      </c>
      <c r="E135" s="94">
        <f ca="1">TblMili[[#This Row],[Draftees]]</f>
        <v>807</v>
      </c>
      <c r="F135" s="94">
        <f ca="1">TblPop[[#This Row],[Peasants]]+TblPop[[#This Row],[Military]]</f>
        <v>1076</v>
      </c>
      <c r="G135" s="139">
        <f ca="1">TblPop[[#This Row],[Military]]/TblPop[[#This Row],[Total]]</f>
        <v>0.75</v>
      </c>
      <c r="H135" s="140">
        <f ca="1">MIN(TblPop[[#This Row],[Peasants]],TblPop[[#This Row],[Jobs]])</f>
        <v>269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807</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1076</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5" s="94">
        <f ca="1">MAX(-5%*TblPop[[#This Row],[Peasants]]-TblPop[[#This Row],[Draft Growth]],MIN(OFFSET(TblPop[[#This Row],[Net max]],1,0)-TblPop[[#This Row],[Peasants]]-TblPop[[#This Row],[Military]]-TblPop[[#This Row],[Draft Growth]],TblPop[[#This Row],[Modded Birth]]-TblPop[[#This Row],[Draft Growth]]))</f>
        <v>-3</v>
      </c>
      <c r="X135" s="94">
        <f ca="1">ROUND(TblPop[[#This Row],[Raw Birth]]*(1+TblPop[[#This Row],[Growth]]),0)</f>
        <v>8</v>
      </c>
      <c r="Y135" s="94">
        <f ca="1">(TblPop[[#This Row],[Peasants]]-TblPop[[#This Row],[Draft Growth]])*raw_pop_growth</f>
        <v>7.9799999999999995</v>
      </c>
      <c r="Z135" s="94">
        <f ca="1">ROUND(IF(TblPop[[#This Row],[Military%]]&lt;TblMili[[#This Row],[Draftrate]],ROUND(TblPop[[#This Row],[Peasants]]*Constants!$B$55,0), 0) * IF(AND(TblMagic[[#This Row],[Active DnD]]&lt;=12,TblMagic[[#This Row],[Active DnD]]&gt;6),1.5,1),0)</f>
        <v>3</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46107.24999999968</v>
      </c>
      <c r="C136" s="94">
        <f ca="1">OFFSET(TblPop[[#This Row],[Peasants]],-1,0)+OFFSET(TblPop[[#This Row],[Net Peasant]],-1,0)+TblMili[[#This Row],[Release Draft]]</f>
        <v>266</v>
      </c>
      <c r="D136" s="94">
        <f ca="1">TblMili[[#This Row],[Military]]</f>
        <v>810</v>
      </c>
      <c r="E136" s="94">
        <f ca="1">TblMili[[#This Row],[Draftees]]</f>
        <v>810</v>
      </c>
      <c r="F136" s="94">
        <f ca="1">TblPop[[#This Row],[Peasants]]+TblPop[[#This Row],[Military]]</f>
        <v>1076</v>
      </c>
      <c r="G136" s="139">
        <f ca="1">TblPop[[#This Row],[Military]]/TblPop[[#This Row],[Total]]</f>
        <v>0.75278810408921937</v>
      </c>
      <c r="H136" s="140">
        <f ca="1">MIN(TblPop[[#This Row],[Peasants]],TblPop[[#This Row],[Jobs]])</f>
        <v>266</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810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1076</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7.89</v>
      </c>
      <c r="Z136" s="94">
        <f ca="1">ROUND(IF(TblPop[[#This Row],[Military%]]&lt;TblMili[[#This Row],[Draftrate]],ROUND(TblPop[[#This Row],[Peasants]]*Constants!$B$55,0), 0) * IF(AND(TblMagic[[#This Row],[Active DnD]]&lt;=12,TblMagic[[#This Row],[Active DnD]]&gt;6),1.5,1),0)</f>
        <v>3</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3" priority="1" stopIfTrue="1">
      <formula>OR(C4&lt;0,ROW()-3=$C$1270)</formula>
    </cfRule>
  </conditionalFormatting>
  <conditionalFormatting sqref="A1269:XFD1270">
    <cfRule type="expression" dxfId="82" priority="106" stopIfTrue="1">
      <formula>$C$1270&gt;144</formula>
    </cfRule>
  </conditionalFormatting>
  <conditionalFormatting sqref="A4:AC136">
    <cfRule type="expression" dxfId="81" priority="12" stopIfTrue="1">
      <formula>ROW()-3=$C$1270</formula>
    </cfRule>
    <cfRule type="expression" dxfId="80" priority="112">
      <formula>$A4=49</formula>
    </cfRule>
    <cfRule type="expression" dxfId="79" priority="113">
      <formula>ROUND(($A4-1)/12,0)=INT($A4-1)/12</formula>
    </cfRule>
  </conditionalFormatting>
  <conditionalFormatting sqref="A1:XFD3">
    <cfRule type="expression" dxfId="78"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46101.75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46101.75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hidden="1" x14ac:dyDescent="0.2">
      <c r="A5" s="137">
        <v>2</v>
      </c>
      <c r="B5" s="152">
        <f ca="1">TblImps[[#This Row],[Time]]</f>
        <v>46101.791666666664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Infernal Command]]&gt;0,demonic_pact_food_cons,0))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46101.791666666664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hidden="1" x14ac:dyDescent="0.2">
      <c r="A6" s="137">
        <v>3</v>
      </c>
      <c r="B6" s="152">
        <f ca="1">TblImps[[#This Row],[Time]]</f>
        <v>46101.833333333328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Infernal Command]]&gt;0,demonic_pact_food_cons,0))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46101.833333333328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hidden="1" x14ac:dyDescent="0.2">
      <c r="A7" s="137">
        <v>4</v>
      </c>
      <c r="B7" s="152">
        <f ca="1">TblImps[[#This Row],[Time]]</f>
        <v>46101.874999999993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Infernal Command]]&gt;0,demonic_pact_food_cons,0))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46101.874999999993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hidden="1" x14ac:dyDescent="0.2">
      <c r="A8" s="137">
        <v>5</v>
      </c>
      <c r="B8" s="152">
        <f ca="1">TblImps[[#This Row],[Time]]</f>
        <v>46101.916666666657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Infernal Command]]&gt;0,demonic_pact_food_cons,0))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46101.916666666657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hidden="1" x14ac:dyDescent="0.2">
      <c r="A9" s="137">
        <v>6</v>
      </c>
      <c r="B9" s="152">
        <f ca="1">TblImps[[#This Row],[Time]]</f>
        <v>46101.958333333321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Infernal Command]]&gt;0,demonic_pact_food_cons,0))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46101.958333333321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hidden="1" x14ac:dyDescent="0.2">
      <c r="A10" s="137">
        <v>7</v>
      </c>
      <c r="B10" s="152">
        <f ca="1">TblImps[[#This Row],[Time]]</f>
        <v>46101.999999999985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Infernal Command]]&gt;0,demonic_pact_food_cons,0))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46101.999999999985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hidden="1" x14ac:dyDescent="0.2">
      <c r="A11" s="137">
        <v>8</v>
      </c>
      <c r="B11" s="152">
        <f ca="1">TblImps[[#This Row],[Time]]</f>
        <v>46102.04166666665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Infernal Command]]&gt;0,demonic_pact_food_cons,0))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46102.04166666665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hidden="1" x14ac:dyDescent="0.2">
      <c r="A12" s="137">
        <v>9</v>
      </c>
      <c r="B12" s="152">
        <f ca="1">TblImps[[#This Row],[Time]]</f>
        <v>46102.083333333314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Infernal Command]]&gt;0,demonic_pact_food_cons,0))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46102.083333333314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hidden="1" x14ac:dyDescent="0.2">
      <c r="A13" s="137">
        <v>10</v>
      </c>
      <c r="B13" s="152">
        <f ca="1">TblImps[[#This Row],[Time]]</f>
        <v>46102.124999999978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Infernal Command]]&gt;0,demonic_pact_food_cons,0))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46102.124999999978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hidden="1" x14ac:dyDescent="0.2">
      <c r="A14" s="137">
        <v>11</v>
      </c>
      <c r="B14" s="152">
        <f ca="1">TblImps[[#This Row],[Time]]</f>
        <v>46102.166666666642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46102.166666666642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hidden="1" x14ac:dyDescent="0.2">
      <c r="A15" s="137">
        <v>12</v>
      </c>
      <c r="B15" s="152">
        <f ca="1">TblImps[[#This Row],[Time]]</f>
        <v>46102.208333333307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46102.208333333307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x14ac:dyDescent="0.2">
      <c r="A16" s="137">
        <v>13</v>
      </c>
      <c r="B16" s="152">
        <f ca="1">TblImps[[#This Row],[Time]]</f>
        <v>46102.249999999971</v>
      </c>
      <c r="C16" s="153"/>
      <c r="D16" s="154"/>
      <c r="E16" s="94">
        <f ca="1">TblConstr[[#This Row],[Land]]</f>
        <v>110</v>
      </c>
      <c r="F16" s="94">
        <f ca="1">TblPop[[#This Row],[Peasants]]</f>
        <v>573</v>
      </c>
      <c r="G16" s="94">
        <f ca="1">TblMili[[#This Row],[Networth (2)]]</f>
        <v>2450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1547</v>
      </c>
      <c r="T16" s="94">
        <f ca="1">ROUND(TblProd[[#This Row],[Raw Food/hr]]*(1+TblProd[[#This Row],[Bonus Food/hr]])-TblProd[[#This Row],[Food decay]]-TblProd[[#This Row],[Food eaten]],0)</f>
        <v>1977</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1547.1000000000001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Infernal Command]]&gt;0,demonic_pact_food_cons,0))</f>
        <v>196.5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46102.249999999971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hidden="1" x14ac:dyDescent="0.2">
      <c r="A17" s="137">
        <v>14</v>
      </c>
      <c r="B17" s="152">
        <f ca="1">TblImps[[#This Row],[Time]]</f>
        <v>46102.291666666635</v>
      </c>
      <c r="C17" s="61"/>
      <c r="D17" s="154"/>
      <c r="E17" s="94">
        <f ca="1">TblConstr[[#This Row],[Land]]</f>
        <v>110</v>
      </c>
      <c r="F17" s="94">
        <f ca="1">TblPop[[#This Row],[Peasants]]</f>
        <v>584</v>
      </c>
      <c r="G17" s="94">
        <f ca="1">TblMili[[#This Row],[Networth (2)]]</f>
        <v>2450</v>
      </c>
      <c r="H17" s="94">
        <f ca="1">OFFSET(TblProd[[#This Row],[Platinum]],-1,0)+OFFSET(TblProd[[#This Row],[Plat/hr]],-1,0) - TblProd[[#This Row],[Expenses Platinum]] + IF(TblProd[[#This Row],[Plat Bonus]],TblPop[[#This Row],[Peasants]]*4) + SUM(TblConstr[[#This Row],[Dest Hom]:[Dest Doc]])*TblConstr[[#This Row],[CPA Platinum -DB]]*tech_3_3_2*TblTech[[#This Row],[3-3]]</f>
        <v>68422</v>
      </c>
      <c r="I17" s="94">
        <f ca="1">OFFSET(TblProd[[#This Row],[Food]],-1,0)+OFFSET(TblProd[[#This Row],[Food/hr]],-1,0)+ROUNDUP((TblConstr[[#This Row],[Farms]]*80+TblConstr[[#This Row],[Docks]]*35)*(1+OFFSET(TblProd[[#This Row],[Bonus Food/hr]],-1,0)),0)</f>
        <v>42597</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1576</v>
      </c>
      <c r="T17" s="94">
        <f ca="1">ROUND(TblProd[[#This Row],[Raw Food/hr]]*(1+TblProd[[#This Row],[Bonus Food/hr]])-TblProd[[#This Row],[Food decay]]-TblProd[[#This Row],[Food eaten]],0)</f>
        <v>1953</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1576.8000000000002</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425.97</v>
      </c>
      <c r="AP17" s="94">
        <f ca="1">(1+race_food_consumption)*TblPop[[#This Row],[Total]]*food_per_person*(1+tech_1_10*TblTech[[#This Row],[1-10]]+tech_7_5*TblTech[[#This Row],[7-5]] + IF(TblMagic[[#This Row],[Active Infernal Command]]&gt;0,demonic_pact_food_cons,0))</f>
        <v>200.75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46102.291666666635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68422</v>
      </c>
      <c r="BJ17" s="94">
        <f ca="1">TblProd[[#This Row],[Food]]</f>
        <v>42597</v>
      </c>
      <c r="BK17" s="94">
        <f ca="1">TblProd[[#This Row],[Lumber]]</f>
        <v>25410</v>
      </c>
      <c r="BL17" s="94">
        <f ca="1">TblProd[[#This Row],[Mana]]</f>
        <v>0</v>
      </c>
      <c r="BM17" s="94">
        <f ca="1">TblProd[[#This Row],[Ore]]</f>
        <v>0</v>
      </c>
    </row>
    <row r="18" spans="1:65" hidden="1" x14ac:dyDescent="0.2">
      <c r="A18" s="137">
        <v>15</v>
      </c>
      <c r="B18" s="152">
        <f ca="1">TblImps[[#This Row],[Time]]</f>
        <v>46102.333333333299</v>
      </c>
      <c r="C18" s="61"/>
      <c r="D18" s="154"/>
      <c r="E18" s="94">
        <f ca="1">TblConstr[[#This Row],[Land]]</f>
        <v>110</v>
      </c>
      <c r="F18" s="94">
        <f ca="1">TblPop[[#This Row],[Peasants]]</f>
        <v>595</v>
      </c>
      <c r="G18" s="94">
        <f ca="1">TblMili[[#This Row],[Networth (2)]]</f>
        <v>2450</v>
      </c>
      <c r="H18" s="94">
        <f ca="1">OFFSET(TblProd[[#This Row],[Platinum]],-1,0)+OFFSET(TblProd[[#This Row],[Plat/hr]],-1,0) - TblProd[[#This Row],[Expenses Platinum]] + IF(TblProd[[#This Row],[Plat Bonus]],TblPop[[#This Row],[Peasants]]*4) + SUM(TblConstr[[#This Row],[Dest Hom]:[Dest Doc]])*TblConstr[[#This Row],[CPA Platinum -DB]]*tech_3_3_2*TblTech[[#This Row],[3-3]]</f>
        <v>69998</v>
      </c>
      <c r="I18" s="94">
        <f ca="1">OFFSET(TblProd[[#This Row],[Food]],-1,0)+OFFSET(TblProd[[#This Row],[Food/hr]],-1,0)+ROUNDUP((TblConstr[[#This Row],[Farms]]*80+TblConstr[[#This Row],[Docks]]*35)*(1+OFFSET(TblProd[[#This Row],[Bonus Food/hr]],-1,0)),0)</f>
        <v>44550</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1606</v>
      </c>
      <c r="T18" s="94">
        <f ca="1">ROUND(TblProd[[#This Row],[Raw Food/hr]]*(1+TblProd[[#This Row],[Bonus Food/hr]])-TblProd[[#This Row],[Food decay]]-TblProd[[#This Row],[Food eaten]],0)</f>
        <v>1930</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1606.5</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445.5</v>
      </c>
      <c r="AP18" s="94">
        <f ca="1">(1+race_food_consumption)*TblPop[[#This Row],[Total]]*food_per_person*(1+tech_1_10*TblTech[[#This Row],[1-10]]+tech_7_5*TblTech[[#This Row],[7-5]] + IF(TblMagic[[#This Row],[Active Infernal Command]]&gt;0,demonic_pact_food_cons,0))</f>
        <v>205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46102.333333333299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69998</v>
      </c>
      <c r="BJ18" s="94">
        <f ca="1">TblProd[[#This Row],[Food]]</f>
        <v>44550</v>
      </c>
      <c r="BK18" s="94">
        <f ca="1">TblProd[[#This Row],[Lumber]]</f>
        <v>26156</v>
      </c>
      <c r="BL18" s="94">
        <f ca="1">TblProd[[#This Row],[Mana]]</f>
        <v>0</v>
      </c>
      <c r="BM18" s="94">
        <f ca="1">TblProd[[#This Row],[Ore]]</f>
        <v>0</v>
      </c>
    </row>
    <row r="19" spans="1:65" hidden="1" x14ac:dyDescent="0.2">
      <c r="A19" s="137">
        <v>16</v>
      </c>
      <c r="B19" s="152">
        <f ca="1">TblImps[[#This Row],[Time]]</f>
        <v>46102.374999999964</v>
      </c>
      <c r="C19" s="61"/>
      <c r="D19" s="154"/>
      <c r="E19" s="94">
        <f ca="1">TblConstr[[#This Row],[Land]]</f>
        <v>110</v>
      </c>
      <c r="F19" s="94">
        <f ca="1">TblPop[[#This Row],[Peasants]]</f>
        <v>607</v>
      </c>
      <c r="G19" s="94">
        <f ca="1">TblMili[[#This Row],[Networth (2)]]</f>
        <v>2450</v>
      </c>
      <c r="H19" s="94">
        <f ca="1">OFFSET(TblProd[[#This Row],[Platinum]],-1,0)+OFFSET(TblProd[[#This Row],[Plat/hr]],-1,0) - TblProd[[#This Row],[Expenses Platinum]] + IF(TblProd[[#This Row],[Plat Bonus]],TblPop[[#This Row],[Peasants]]*4) + SUM(TblConstr[[#This Row],[Dest Hom]:[Dest Doc]])*TblConstr[[#This Row],[CPA Platinum -DB]]*tech_3_3_2*TblTech[[#This Row],[3-3]]</f>
        <v>71604</v>
      </c>
      <c r="I19" s="94">
        <f ca="1">OFFSET(TblProd[[#This Row],[Food]],-1,0)+OFFSET(TblProd[[#This Row],[Food/hr]],-1,0)+ROUNDUP((TblConstr[[#This Row],[Farms]]*80+TblConstr[[#This Row],[Docks]]*35)*(1+OFFSET(TblProd[[#This Row],[Bonus Food/hr]],-1,0)),0)</f>
        <v>46480</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1638</v>
      </c>
      <c r="T19" s="94">
        <f ca="1">ROUND(TblProd[[#This Row],[Raw Food/hr]]*(1+TblProd[[#This Row],[Bonus Food/hr]])-TblProd[[#This Row],[Food decay]]-TblProd[[#This Row],[Food eaten]],0)</f>
        <v>1906</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1638.9</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464.8</v>
      </c>
      <c r="AP19" s="94">
        <f ca="1">(1+race_food_consumption)*TblPop[[#This Row],[Total]]*food_per_person*(1+tech_1_10*TblTech[[#This Row],[1-10]]+tech_7_5*TblTech[[#This Row],[7-5]] + IF(TblMagic[[#This Row],[Active Infernal Command]]&gt;0,demonic_pact_food_cons,0))</f>
        <v>209.5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46102.374999999964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71604</v>
      </c>
      <c r="BJ19" s="94">
        <f ca="1">TblProd[[#This Row],[Food]]</f>
        <v>46480</v>
      </c>
      <c r="BK19" s="94">
        <f ca="1">TblProd[[#This Row],[Lumber]]</f>
        <v>26894</v>
      </c>
      <c r="BL19" s="94">
        <f ca="1">TblProd[[#This Row],[Mana]]</f>
        <v>0</v>
      </c>
      <c r="BM19" s="94">
        <f ca="1">TblProd[[#This Row],[Ore]]</f>
        <v>0</v>
      </c>
    </row>
    <row r="20" spans="1:65" hidden="1" x14ac:dyDescent="0.2">
      <c r="A20" s="137">
        <v>17</v>
      </c>
      <c r="B20" s="152">
        <f ca="1">TblImps[[#This Row],[Time]]</f>
        <v>46102.416666666628</v>
      </c>
      <c r="C20" s="61"/>
      <c r="D20" s="154"/>
      <c r="E20" s="94">
        <f ca="1">TblConstr[[#This Row],[Land]]</f>
        <v>110</v>
      </c>
      <c r="F20" s="94">
        <f ca="1">TblPop[[#This Row],[Peasants]]</f>
        <v>619</v>
      </c>
      <c r="G20" s="94">
        <f ca="1">TblMili[[#This Row],[Networth (2)]]</f>
        <v>2450</v>
      </c>
      <c r="H20" s="94">
        <f ca="1">OFFSET(TblProd[[#This Row],[Platinum]],-1,0)+OFFSET(TblProd[[#This Row],[Plat/hr]],-1,0) - TblProd[[#This Row],[Expenses Platinum]] + IF(TblProd[[#This Row],[Plat Bonus]],TblPop[[#This Row],[Peasants]]*4) + SUM(TblConstr[[#This Row],[Dest Hom]:[Dest Doc]])*TblConstr[[#This Row],[CPA Platinum -DB]]*tech_3_3_2*TblTech[[#This Row],[3-3]]</f>
        <v>73242</v>
      </c>
      <c r="I20" s="94">
        <f ca="1">OFFSET(TblProd[[#This Row],[Food]],-1,0)+OFFSET(TblProd[[#This Row],[Food/hr]],-1,0)+ROUNDUP((TblConstr[[#This Row],[Farms]]*80+TblConstr[[#This Row],[Docks]]*35)*(1+OFFSET(TblProd[[#This Row],[Bonus Food/hr]],-1,0)),0)</f>
        <v>48386</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1671</v>
      </c>
      <c r="T20" s="94">
        <f ca="1">ROUND(TblProd[[#This Row],[Raw Food/hr]]*(1+TblProd[[#This Row],[Bonus Food/hr]])-TblProd[[#This Row],[Food decay]]-TblProd[[#This Row],[Food eaten]],0)</f>
        <v>1882</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1671.3000000000002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483.86</v>
      </c>
      <c r="AP20" s="94">
        <f ca="1">(1+race_food_consumption)*TblPop[[#This Row],[Total]]*food_per_person*(1+tech_1_10*TblTech[[#This Row],[1-10]]+tech_7_5*TblTech[[#This Row],[7-5]] + IF(TblMagic[[#This Row],[Active Infernal Command]]&gt;0,demonic_pact_food_cons,0))</f>
        <v>214</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46102.416666666628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73242</v>
      </c>
      <c r="BJ20" s="94">
        <f ca="1">TblProd[[#This Row],[Food]]</f>
        <v>48386</v>
      </c>
      <c r="BK20" s="94">
        <f ca="1">TblProd[[#This Row],[Lumber]]</f>
        <v>27625</v>
      </c>
      <c r="BL20" s="94">
        <f ca="1">TblProd[[#This Row],[Mana]]</f>
        <v>0</v>
      </c>
      <c r="BM20" s="94">
        <f ca="1">TblProd[[#This Row],[Ore]]</f>
        <v>0</v>
      </c>
    </row>
    <row r="21" spans="1:65" hidden="1" x14ac:dyDescent="0.2">
      <c r="A21" s="137">
        <v>18</v>
      </c>
      <c r="B21" s="152">
        <f ca="1">TblImps[[#This Row],[Time]]</f>
        <v>46102.458333333292</v>
      </c>
      <c r="C21" s="61"/>
      <c r="D21" s="154"/>
      <c r="E21" s="94">
        <f ca="1">TblConstr[[#This Row],[Land]]</f>
        <v>110</v>
      </c>
      <c r="F21" s="94">
        <f ca="1">TblPop[[#This Row],[Peasants]]</f>
        <v>631</v>
      </c>
      <c r="G21" s="94">
        <f ca="1">TblMili[[#This Row],[Networth (2)]]</f>
        <v>2450</v>
      </c>
      <c r="H21" s="94">
        <f ca="1">OFFSET(TblProd[[#This Row],[Platinum]],-1,0)+OFFSET(TblProd[[#This Row],[Plat/hr]],-1,0) - TblProd[[#This Row],[Expenses Platinum]] + IF(TblProd[[#This Row],[Plat Bonus]],TblPop[[#This Row],[Peasants]]*4) + SUM(TblConstr[[#This Row],[Dest Hom]:[Dest Doc]])*TblConstr[[#This Row],[CPA Platinum -DB]]*tech_3_3_2*TblTech[[#This Row],[3-3]]</f>
        <v>74913</v>
      </c>
      <c r="I21" s="94">
        <f ca="1">OFFSET(TblProd[[#This Row],[Food]],-1,0)+OFFSET(TblProd[[#This Row],[Food/hr]],-1,0)+ROUNDUP((TblConstr[[#This Row],[Farms]]*80+TblConstr[[#This Row],[Docks]]*35)*(1+OFFSET(TblProd[[#This Row],[Bonus Food/hr]],-1,0)),0)</f>
        <v>50268</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1703</v>
      </c>
      <c r="T21" s="94">
        <f ca="1">ROUND(TblProd[[#This Row],[Raw Food/hr]]*(1+TblProd[[#This Row],[Bonus Food/hr]])-TblProd[[#This Row],[Food decay]]-TblProd[[#This Row],[Food eaten]],0)</f>
        <v>1859</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1703.7</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502.68</v>
      </c>
      <c r="AP21" s="94">
        <f ca="1">(1+race_food_consumption)*TblPop[[#This Row],[Total]]*food_per_person*(1+tech_1_10*TblTech[[#This Row],[1-10]]+tech_7_5*TblTech[[#This Row],[7-5]] + IF(TblMagic[[#This Row],[Active Infernal Command]]&gt;0,demonic_pact_food_cons,0))</f>
        <v>218.5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46102.458333333292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74913</v>
      </c>
      <c r="BJ21" s="94">
        <f ca="1">TblProd[[#This Row],[Food]]</f>
        <v>50268</v>
      </c>
      <c r="BK21" s="94">
        <f ca="1">TblProd[[#This Row],[Lumber]]</f>
        <v>28349</v>
      </c>
      <c r="BL21" s="94">
        <f ca="1">TblProd[[#This Row],[Mana]]</f>
        <v>0</v>
      </c>
      <c r="BM21" s="94">
        <f ca="1">TblProd[[#This Row],[Ore]]</f>
        <v>0</v>
      </c>
    </row>
    <row r="22" spans="1:65" hidden="1" x14ac:dyDescent="0.2">
      <c r="A22" s="137">
        <v>19</v>
      </c>
      <c r="B22" s="152">
        <f ca="1">TblImps[[#This Row],[Time]]</f>
        <v>46102.499999999956</v>
      </c>
      <c r="C22" s="61"/>
      <c r="D22" s="154"/>
      <c r="E22" s="94">
        <f ca="1">TblConstr[[#This Row],[Land]]</f>
        <v>110</v>
      </c>
      <c r="F22" s="94">
        <f ca="1">TblPop[[#This Row],[Peasants]]</f>
        <v>644</v>
      </c>
      <c r="G22" s="94">
        <f ca="1">TblMili[[#This Row],[Networth (2)]]</f>
        <v>2450</v>
      </c>
      <c r="H22" s="94">
        <f ca="1">OFFSET(TblProd[[#This Row],[Platinum]],-1,0)+OFFSET(TblProd[[#This Row],[Plat/hr]],-1,0) - TblProd[[#This Row],[Expenses Platinum]] + IF(TblProd[[#This Row],[Plat Bonus]],TblPop[[#This Row],[Peasants]]*4) + SUM(TblConstr[[#This Row],[Dest Hom]:[Dest Doc]])*TblConstr[[#This Row],[CPA Platinum -DB]]*tech_3_3_2*TblTech[[#This Row],[3-3]]</f>
        <v>76616</v>
      </c>
      <c r="I22" s="94">
        <f ca="1">OFFSET(TblProd[[#This Row],[Food]],-1,0)+OFFSET(TblProd[[#This Row],[Food/hr]],-1,0)+ROUNDUP((TblConstr[[#This Row],[Farms]]*80+TblConstr[[#This Row],[Docks]]*35)*(1+OFFSET(TblProd[[#This Row],[Bonus Food/hr]],-1,0)),0)</f>
        <v>52127</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1738</v>
      </c>
      <c r="T22" s="94">
        <f ca="1">ROUND(TblProd[[#This Row],[Raw Food/hr]]*(1+TblProd[[#This Row],[Bonus Food/hr]])-TblProd[[#This Row],[Food decay]]-TblProd[[#This Row],[Food eaten]],0)</f>
        <v>1835</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1738.8000000000002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521.27</v>
      </c>
      <c r="AP22" s="94">
        <f ca="1">(1+race_food_consumption)*TblPop[[#This Row],[Total]]*food_per_person*(1+tech_1_10*TblTech[[#This Row],[1-10]]+tech_7_5*TblTech[[#This Row],[7-5]] + IF(TblMagic[[#This Row],[Active Infernal Command]]&gt;0,demonic_pact_food_cons,0))</f>
        <v>223.25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46102.499999999956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76616</v>
      </c>
      <c r="BJ22" s="94">
        <f ca="1">TblProd[[#This Row],[Food]]</f>
        <v>52127</v>
      </c>
      <c r="BK22" s="94">
        <f ca="1">TblProd[[#This Row],[Lumber]]</f>
        <v>29066</v>
      </c>
      <c r="BL22" s="94">
        <f ca="1">TblProd[[#This Row],[Mana]]</f>
        <v>0</v>
      </c>
      <c r="BM22" s="94">
        <f ca="1">TblProd[[#This Row],[Ore]]</f>
        <v>0</v>
      </c>
    </row>
    <row r="23" spans="1:65" hidden="1" x14ac:dyDescent="0.2">
      <c r="A23" s="137">
        <v>20</v>
      </c>
      <c r="B23" s="152">
        <f ca="1">TblImps[[#This Row],[Time]]</f>
        <v>46102.541666666621</v>
      </c>
      <c r="C23" s="61"/>
      <c r="D23" s="154"/>
      <c r="E23" s="94">
        <f ca="1">TblConstr[[#This Row],[Land]]</f>
        <v>110</v>
      </c>
      <c r="F23" s="94">
        <f ca="1">TblPop[[#This Row],[Peasants]]</f>
        <v>657</v>
      </c>
      <c r="G23" s="94">
        <f ca="1">TblMili[[#This Row],[Networth (2)]]</f>
        <v>2450</v>
      </c>
      <c r="H23" s="94">
        <f ca="1">OFFSET(TblProd[[#This Row],[Platinum]],-1,0)+OFFSET(TblProd[[#This Row],[Plat/hr]],-1,0) - TblProd[[#This Row],[Expenses Platinum]] + IF(TblProd[[#This Row],[Plat Bonus]],TblPop[[#This Row],[Peasants]]*4) + SUM(TblConstr[[#This Row],[Dest Hom]:[Dest Doc]])*TblConstr[[#This Row],[CPA Platinum -DB]]*tech_3_3_2*TblTech[[#This Row],[3-3]]</f>
        <v>78354</v>
      </c>
      <c r="I23" s="94">
        <f ca="1">OFFSET(TblProd[[#This Row],[Food]],-1,0)+OFFSET(TblProd[[#This Row],[Food/hr]],-1,0)+ROUNDUP((TblConstr[[#This Row],[Farms]]*80+TblConstr[[#This Row],[Docks]]*35)*(1+OFFSET(TblProd[[#This Row],[Bonus Food/hr]],-1,0)),0)</f>
        <v>53962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1773</v>
      </c>
      <c r="T23" s="94">
        <f ca="1">ROUND(TblProd[[#This Row],[Raw Food/hr]]*(1+TblProd[[#This Row],[Bonus Food/hr]])-TblProd[[#This Row],[Food decay]]-TblProd[[#This Row],[Food eaten]],0)</f>
        <v>1812</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1773.9</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539.62</v>
      </c>
      <c r="AP23" s="94">
        <f ca="1">(1+race_food_consumption)*TblPop[[#This Row],[Total]]*food_per_person*(1+tech_1_10*TblTech[[#This Row],[1-10]]+tech_7_5*TblTech[[#This Row],[7-5]] + IF(TblMagic[[#This Row],[Active Infernal Command]]&gt;0,demonic_pact_food_cons,0))</f>
        <v>228</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46102.541666666621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78354</v>
      </c>
      <c r="BJ23" s="94">
        <f ca="1">TblProd[[#This Row],[Food]]</f>
        <v>53962</v>
      </c>
      <c r="BK23" s="94">
        <f ca="1">TblProd[[#This Row],[Lumber]]</f>
        <v>29775</v>
      </c>
      <c r="BL23" s="94">
        <f ca="1">TblProd[[#This Row],[Mana]]</f>
        <v>0</v>
      </c>
      <c r="BM23" s="94">
        <f ca="1">TblProd[[#This Row],[Ore]]</f>
        <v>0</v>
      </c>
    </row>
    <row r="24" spans="1:65" hidden="1" x14ac:dyDescent="0.2">
      <c r="A24" s="137">
        <v>21</v>
      </c>
      <c r="B24" s="152">
        <f ca="1">TblImps[[#This Row],[Time]]</f>
        <v>46102.583333333285</v>
      </c>
      <c r="C24" s="61"/>
      <c r="D24" s="154"/>
      <c r="E24" s="94">
        <f ca="1">TblConstr[[#This Row],[Land]]</f>
        <v>110</v>
      </c>
      <c r="F24" s="94">
        <f ca="1">TblPop[[#This Row],[Peasants]]</f>
        <v>670</v>
      </c>
      <c r="G24" s="94">
        <f ca="1">TblMili[[#This Row],[Networth (2)]]</f>
        <v>2450</v>
      </c>
      <c r="H24" s="94">
        <f ca="1">OFFSET(TblProd[[#This Row],[Platinum]],-1,0)+OFFSET(TblProd[[#This Row],[Plat/hr]],-1,0) - TblProd[[#This Row],[Expenses Platinum]] + IF(TblProd[[#This Row],[Plat Bonus]],TblPop[[#This Row],[Peasants]]*4) + SUM(TblConstr[[#This Row],[Dest Hom]:[Dest Doc]])*TblConstr[[#This Row],[CPA Platinum -DB]]*tech_3_3_2*TblTech[[#This Row],[3-3]]</f>
        <v>80127</v>
      </c>
      <c r="I24" s="94">
        <f ca="1">OFFSET(TblProd[[#This Row],[Food]],-1,0)+OFFSET(TblProd[[#This Row],[Food/hr]],-1,0)+ROUNDUP((TblConstr[[#This Row],[Farms]]*80+TblConstr[[#This Row],[Docks]]*35)*(1+OFFSET(TblProd[[#This Row],[Bonus Food/hr]],-1,0)),0)</f>
        <v>55774</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1809</v>
      </c>
      <c r="T24" s="94">
        <f ca="1">ROUND(TblProd[[#This Row],[Raw Food/hr]]*(1+TblProd[[#This Row],[Bonus Food/hr]])-TblProd[[#This Row],[Food decay]]-TblProd[[#This Row],[Food eaten]],0)</f>
        <v>1789</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1809.0000000000002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557.74</v>
      </c>
      <c r="AP24" s="94">
        <f ca="1">(1+race_food_consumption)*TblPop[[#This Row],[Total]]*food_per_person*(1+tech_1_10*TblTech[[#This Row],[1-10]]+tech_7_5*TblTech[[#This Row],[7-5]] + IF(TblMagic[[#This Row],[Active Infernal Command]]&gt;0,demonic_pact_food_cons,0))</f>
        <v>233</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46102.583333333285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80127</v>
      </c>
      <c r="BJ24" s="94">
        <f ca="1">TblProd[[#This Row],[Food]]</f>
        <v>55774</v>
      </c>
      <c r="BK24" s="94">
        <f ca="1">TblProd[[#This Row],[Lumber]]</f>
        <v>30477</v>
      </c>
      <c r="BL24" s="94">
        <f ca="1">TblProd[[#This Row],[Mana]]</f>
        <v>0</v>
      </c>
      <c r="BM24" s="94">
        <f ca="1">TblProd[[#This Row],[Ore]]</f>
        <v>0</v>
      </c>
    </row>
    <row r="25" spans="1:65" hidden="1" x14ac:dyDescent="0.2">
      <c r="A25" s="137">
        <v>22</v>
      </c>
      <c r="B25" s="152">
        <f ca="1">TblImps[[#This Row],[Time]]</f>
        <v>46102.624999999949</v>
      </c>
      <c r="C25" s="61"/>
      <c r="D25" s="154"/>
      <c r="E25" s="94">
        <f ca="1">TblConstr[[#This Row],[Land]]</f>
        <v>110</v>
      </c>
      <c r="F25" s="94">
        <f ca="1">TblPop[[#This Row],[Peasants]]</f>
        <v>683</v>
      </c>
      <c r="G25" s="94">
        <f ca="1">TblMili[[#This Row],[Networth (2)]]</f>
        <v>2450</v>
      </c>
      <c r="H25" s="94">
        <f ca="1">OFFSET(TblProd[[#This Row],[Platinum]],-1,0)+OFFSET(TblProd[[#This Row],[Plat/hr]],-1,0) - TblProd[[#This Row],[Expenses Platinum]] + IF(TblProd[[#This Row],[Plat Bonus]],TblPop[[#This Row],[Peasants]]*4) + SUM(TblConstr[[#This Row],[Dest Hom]:[Dest Doc]])*TblConstr[[#This Row],[CPA Platinum -DB]]*tech_3_3_2*TblTech[[#This Row],[3-3]]</f>
        <v>81936</v>
      </c>
      <c r="I25" s="94">
        <f ca="1">OFFSET(TblProd[[#This Row],[Food]],-1,0)+OFFSET(TblProd[[#This Row],[Food/hr]],-1,0)+ROUNDUP((TblConstr[[#This Row],[Farms]]*80+TblConstr[[#This Row],[Docks]]*35)*(1+OFFSET(TblProd[[#This Row],[Bonus Food/hr]],-1,0)),0)</f>
        <v>57563</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1844</v>
      </c>
      <c r="T25" s="94">
        <f ca="1">ROUND(TblProd[[#This Row],[Raw Food/hr]]*(1+TblProd[[#This Row],[Bonus Food/hr]])-TblProd[[#This Row],[Food decay]]-TblProd[[#This Row],[Food eaten]],0)</f>
        <v>1766</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1844.1000000000001</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575.63</v>
      </c>
      <c r="AP25" s="94">
        <f ca="1">(1+race_food_consumption)*TblPop[[#This Row],[Total]]*food_per_person*(1+tech_1_10*TblTech[[#This Row],[1-10]]+tech_7_5*TblTech[[#This Row],[7-5]] + IF(TblMagic[[#This Row],[Active Infernal Command]]&gt;0,demonic_pact_food_cons,0))</f>
        <v>238</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46102.624999999949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81936</v>
      </c>
      <c r="BJ25" s="94">
        <f ca="1">TblProd[[#This Row],[Food]]</f>
        <v>57563</v>
      </c>
      <c r="BK25" s="94">
        <f ca="1">TblProd[[#This Row],[Lumber]]</f>
        <v>31172</v>
      </c>
      <c r="BL25" s="94">
        <f ca="1">TblProd[[#This Row],[Mana]]</f>
        <v>0</v>
      </c>
      <c r="BM25" s="94">
        <f ca="1">TblProd[[#This Row],[Ore]]</f>
        <v>0</v>
      </c>
    </row>
    <row r="26" spans="1:65" hidden="1" x14ac:dyDescent="0.2">
      <c r="A26" s="137">
        <v>23</v>
      </c>
      <c r="B26" s="152">
        <f ca="1">TblImps[[#This Row],[Time]]</f>
        <v>46102.666666666613</v>
      </c>
      <c r="C26" s="61"/>
      <c r="D26" s="154"/>
      <c r="E26" s="94">
        <f ca="1">TblConstr[[#This Row],[Land]]</f>
        <v>110</v>
      </c>
      <c r="F26" s="94">
        <f ca="1">TblPop[[#This Row],[Peasants]]</f>
        <v>696</v>
      </c>
      <c r="G26" s="94">
        <f ca="1">TblMili[[#This Row],[Networth (2)]]</f>
        <v>2450</v>
      </c>
      <c r="H26" s="94">
        <f ca="1">OFFSET(TblProd[[#This Row],[Platinum]],-1,0)+OFFSET(TblProd[[#This Row],[Plat/hr]],-1,0) - TblProd[[#This Row],[Expenses Platinum]] + IF(TblProd[[#This Row],[Plat Bonus]],TblPop[[#This Row],[Peasants]]*4) + SUM(TblConstr[[#This Row],[Dest Hom]:[Dest Doc]])*TblConstr[[#This Row],[CPA Platinum -DB]]*tech_3_3_2*TblTech[[#This Row],[3-3]]</f>
        <v>83780</v>
      </c>
      <c r="I26" s="94">
        <f ca="1">OFFSET(TblProd[[#This Row],[Food]],-1,0)+OFFSET(TblProd[[#This Row],[Food/hr]],-1,0)+ROUNDUP((TblConstr[[#This Row],[Farms]]*80+TblConstr[[#This Row],[Docks]]*35)*(1+OFFSET(TblProd[[#This Row],[Bonus Food/hr]],-1,0)),0)</f>
        <v>59329</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1879</v>
      </c>
      <c r="T26" s="94">
        <f ca="1">ROUND(TblProd[[#This Row],[Raw Food/hr]]*(1+TblProd[[#This Row],[Bonus Food/hr]])-TblProd[[#This Row],[Food decay]]-TblProd[[#This Row],[Food eaten]],0)</f>
        <v>1744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1879.2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593.29</v>
      </c>
      <c r="AP26" s="94">
        <f ca="1">(1+race_food_consumption)*TblPop[[#This Row],[Total]]*food_per_person*(1+tech_1_10*TblTech[[#This Row],[1-10]]+tech_7_5*TblTech[[#This Row],[7-5]] + IF(TblMagic[[#This Row],[Active Infernal Command]]&gt;0,demonic_pact_food_cons,0))</f>
        <v>243</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46102.666666666613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83780</v>
      </c>
      <c r="BJ26" s="94">
        <f ca="1">TblProd[[#This Row],[Food]]</f>
        <v>59329</v>
      </c>
      <c r="BK26" s="94">
        <f ca="1">TblProd[[#This Row],[Lumber]]</f>
        <v>31860</v>
      </c>
      <c r="BL26" s="94">
        <f ca="1">TblProd[[#This Row],[Mana]]</f>
        <v>0</v>
      </c>
      <c r="BM26" s="94">
        <f ca="1">TblProd[[#This Row],[Ore]]</f>
        <v>0</v>
      </c>
    </row>
    <row r="27" spans="1:65" hidden="1" x14ac:dyDescent="0.2">
      <c r="A27" s="137">
        <v>24</v>
      </c>
      <c r="B27" s="152">
        <f ca="1">TblImps[[#This Row],[Time]]</f>
        <v>46102.708333333278</v>
      </c>
      <c r="C27" s="61"/>
      <c r="D27" s="154"/>
      <c r="E27" s="94">
        <f ca="1">TblConstr[[#This Row],[Land]]</f>
        <v>110</v>
      </c>
      <c r="F27" s="94">
        <f ca="1">TblPop[[#This Row],[Peasants]]</f>
        <v>710</v>
      </c>
      <c r="G27" s="94">
        <f ca="1">TblMili[[#This Row],[Networth (2)]]</f>
        <v>2450</v>
      </c>
      <c r="H27" s="94">
        <f ca="1">OFFSET(TblProd[[#This Row],[Platinum]],-1,0)+OFFSET(TblProd[[#This Row],[Plat/hr]],-1,0) - TblProd[[#This Row],[Expenses Platinum]] + IF(TblProd[[#This Row],[Plat Bonus]],TblPop[[#This Row],[Peasants]]*4) + SUM(TblConstr[[#This Row],[Dest Hom]:[Dest Doc]])*TblConstr[[#This Row],[CPA Platinum -DB]]*tech_3_3_2*TblTech[[#This Row],[3-3]]</f>
        <v>85659</v>
      </c>
      <c r="I27" s="94">
        <f ca="1">OFFSET(TblProd[[#This Row],[Food]],-1,0)+OFFSET(TblProd[[#This Row],[Food/hr]],-1,0)+ROUNDUP((TblConstr[[#This Row],[Farms]]*80+TblConstr[[#This Row],[Docks]]*35)*(1+OFFSET(TblProd[[#This Row],[Bonus Food/hr]],-1,0)),0)</f>
        <v>61073</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1917</v>
      </c>
      <c r="T27" s="94">
        <f ca="1">ROUND(TblProd[[#This Row],[Raw Food/hr]]*(1+TblProd[[#This Row],[Bonus Food/hr]])-TblProd[[#This Row],[Food decay]]-TblProd[[#This Row],[Food eaten]],0)</f>
        <v>1721</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1917.0000000000002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610.73</v>
      </c>
      <c r="AP27" s="94">
        <f ca="1">(1+race_food_consumption)*TblPop[[#This Row],[Total]]*food_per_person*(1+tech_1_10*TblTech[[#This Row],[1-10]]+tech_7_5*TblTech[[#This Row],[7-5]] + IF(TblMagic[[#This Row],[Active Infernal Command]]&gt;0,demonic_pact_food_cons,0))</f>
        <v>248.25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46102.708333333278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85659</v>
      </c>
      <c r="BJ27" s="94">
        <f ca="1">TblProd[[#This Row],[Food]]</f>
        <v>61073</v>
      </c>
      <c r="BK27" s="94">
        <f ca="1">TblProd[[#This Row],[Lumber]]</f>
        <v>32541</v>
      </c>
      <c r="BL27" s="94">
        <f ca="1">TblProd[[#This Row],[Mana]]</f>
        <v>0</v>
      </c>
      <c r="BM27" s="94">
        <f ca="1">TblProd[[#This Row],[Ore]]</f>
        <v>0</v>
      </c>
    </row>
    <row r="28" spans="1:65" x14ac:dyDescent="0.2">
      <c r="A28" s="137">
        <v>25</v>
      </c>
      <c r="B28" s="152">
        <f ca="1">TblImps[[#This Row],[Time]]</f>
        <v>46102.749999999942</v>
      </c>
      <c r="C28" s="153"/>
      <c r="D28" s="154"/>
      <c r="E28" s="94">
        <f ca="1">TblConstr[[#This Row],[Land]]</f>
        <v>110</v>
      </c>
      <c r="F28" s="94">
        <f ca="1">TblPop[[#This Row],[Peasants]]</f>
        <v>724</v>
      </c>
      <c r="G28" s="94">
        <f ca="1">TblMili[[#This Row],[Networth (2)]]</f>
        <v>2450</v>
      </c>
      <c r="H28" s="94">
        <f ca="1">OFFSET(TblProd[[#This Row],[Platinum]],-1,0)+OFFSET(TblProd[[#This Row],[Plat/hr]],-1,0) - TblProd[[#This Row],[Expenses Platinum]] + IF(TblProd[[#This Row],[Plat Bonus]],TblPop[[#This Row],[Peasants]]*4) + SUM(TblConstr[[#This Row],[Dest Hom]:[Dest Doc]])*TblConstr[[#This Row],[CPA Platinum -DB]]*tech_3_3_2*TblTech[[#This Row],[3-3]]</f>
        <v>87576</v>
      </c>
      <c r="I28" s="94">
        <f ca="1">OFFSET(TblProd[[#This Row],[Food]],-1,0)+OFFSET(TblProd[[#This Row],[Food/hr]],-1,0)+ROUNDUP((TblConstr[[#This Row],[Farms]]*80+TblConstr[[#This Row],[Docks]]*35)*(1+OFFSET(TblProd[[#This Row],[Bonus Food/hr]],-1,0)),0)</f>
        <v>62794</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1954</v>
      </c>
      <c r="T28" s="94">
        <f ca="1">ROUND(TblProd[[#This Row],[Raw Food/hr]]*(1+TblProd[[#This Row],[Bonus Food/hr]])-TblProd[[#This Row],[Food decay]]-TblProd[[#This Row],[Food eaten]],0)</f>
        <v>1699</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1954.8000000000002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627.94000000000005</v>
      </c>
      <c r="AP28" s="94">
        <f ca="1">(1+race_food_consumption)*TblPop[[#This Row],[Total]]*food_per_person*(1+tech_1_10*TblTech[[#This Row],[1-10]]+tech_7_5*TblTech[[#This Row],[7-5]] + IF(TblMagic[[#This Row],[Active Infernal Command]]&gt;0,demonic_pact_food_cons,0))</f>
        <v>253.5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46102.749999999942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87576</v>
      </c>
      <c r="BJ28" s="94">
        <f ca="1">TblProd[[#This Row],[Food]]</f>
        <v>62794</v>
      </c>
      <c r="BK28" s="94">
        <f ca="1">TblProd[[#This Row],[Lumber]]</f>
        <v>33216</v>
      </c>
      <c r="BL28" s="94">
        <f ca="1">TblProd[[#This Row],[Mana]]</f>
        <v>0</v>
      </c>
      <c r="BM28" s="94">
        <f ca="1">TblProd[[#This Row],[Ore]]</f>
        <v>0</v>
      </c>
    </row>
    <row r="29" spans="1:65" x14ac:dyDescent="0.2">
      <c r="A29" s="137">
        <v>26</v>
      </c>
      <c r="B29" s="152">
        <f ca="1">TblImps[[#This Row],[Time]]</f>
        <v>46102.791666666606</v>
      </c>
      <c r="C29" s="153"/>
      <c r="D29" s="154"/>
      <c r="E29" s="94">
        <f ca="1">TblConstr[[#This Row],[Land]]</f>
        <v>110</v>
      </c>
      <c r="F29" s="94">
        <f ca="1">TblPop[[#This Row],[Peasants]]</f>
        <v>739</v>
      </c>
      <c r="G29" s="94">
        <f ca="1">TblMili[[#This Row],[Networth (2)]]</f>
        <v>2450</v>
      </c>
      <c r="H29" s="94">
        <f ca="1">OFFSET(TblProd[[#This Row],[Platinum]],-1,0)+OFFSET(TblProd[[#This Row],[Plat/hr]],-1,0) - TblProd[[#This Row],[Expenses Platinum]] + IF(TblProd[[#This Row],[Plat Bonus]],TblPop[[#This Row],[Peasants]]*4) + SUM(TblConstr[[#This Row],[Dest Hom]:[Dest Doc]])*TblConstr[[#This Row],[CPA Platinum -DB]]*tech_3_3_2*TblTech[[#This Row],[3-3]]</f>
        <v>89530</v>
      </c>
      <c r="I29" s="94">
        <f ca="1">OFFSET(TblProd[[#This Row],[Food]],-1,0)+OFFSET(TblProd[[#This Row],[Food/hr]],-1,0)+ROUNDUP((TblConstr[[#This Row],[Farms]]*80+TblConstr[[#This Row],[Docks]]*35)*(1+OFFSET(TblProd[[#This Row],[Bonus Food/hr]],-1,0)),0)</f>
        <v>64493</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1995</v>
      </c>
      <c r="T29" s="94">
        <f ca="1">ROUND(TblProd[[#This Row],[Raw Food/hr]]*(1+TblProd[[#This Row],[Bonus Food/hr]])-TblProd[[#This Row],[Food decay]]-TblProd[[#This Row],[Food eaten]],0)</f>
        <v>1676</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1995.3000000000002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644.93000000000006</v>
      </c>
      <c r="AP29" s="94">
        <f ca="1">(1+race_food_consumption)*TblPop[[#This Row],[Total]]*food_per_person*(1+tech_1_10*TblTech[[#This Row],[1-10]]+tech_7_5*TblTech[[#This Row],[7-5]] + IF(TblMagic[[#This Row],[Active Infernal Command]]&gt;0,demonic_pact_food_cons,0))</f>
        <v>259</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46102.791666666606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89530</v>
      </c>
      <c r="BJ29" s="94">
        <f ca="1">TblProd[[#This Row],[Food]]</f>
        <v>64493</v>
      </c>
      <c r="BK29" s="94">
        <f ca="1">TblProd[[#This Row],[Lumber]]</f>
        <v>33884</v>
      </c>
      <c r="BL29" s="94">
        <f ca="1">TblProd[[#This Row],[Mana]]</f>
        <v>0</v>
      </c>
      <c r="BM29" s="94">
        <f ca="1">TblProd[[#This Row],[Ore]]</f>
        <v>0</v>
      </c>
    </row>
    <row r="30" spans="1:65" x14ac:dyDescent="0.2">
      <c r="A30" s="137">
        <v>27</v>
      </c>
      <c r="B30" s="152">
        <f ca="1">TblImps[[#This Row],[Time]]</f>
        <v>46102.83333333327</v>
      </c>
      <c r="C30" s="153"/>
      <c r="D30" s="154"/>
      <c r="E30" s="94">
        <f ca="1">TblConstr[[#This Row],[Land]]</f>
        <v>110</v>
      </c>
      <c r="F30" s="94">
        <f ca="1">TblPop[[#This Row],[Peasants]]</f>
        <v>754</v>
      </c>
      <c r="G30" s="94">
        <f ca="1">TblMili[[#This Row],[Networth (2)]]</f>
        <v>2450</v>
      </c>
      <c r="H30" s="94">
        <f ca="1">OFFSET(TblProd[[#This Row],[Platinum]],-1,0)+OFFSET(TblProd[[#This Row],[Plat/hr]],-1,0) - TblProd[[#This Row],[Expenses Platinum]] + IF(TblProd[[#This Row],[Plat Bonus]],TblPop[[#This Row],[Peasants]]*4) + SUM(TblConstr[[#This Row],[Dest Hom]:[Dest Doc]])*TblConstr[[#This Row],[CPA Platinum -DB]]*tech_3_3_2*TblTech[[#This Row],[3-3]]</f>
        <v>91525</v>
      </c>
      <c r="I30" s="94">
        <f ca="1">OFFSET(TblProd[[#This Row],[Food]],-1,0)+OFFSET(TblProd[[#This Row],[Food/hr]],-1,0)+ROUNDUP((TblConstr[[#This Row],[Farms]]*80+TblConstr[[#This Row],[Docks]]*35)*(1+OFFSET(TblProd[[#This Row],[Bonus Food/hr]],-1,0)),0)</f>
        <v>66169</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2035</v>
      </c>
      <c r="T30" s="94">
        <f ca="1">ROUND(TblProd[[#This Row],[Raw Food/hr]]*(1+TblProd[[#This Row],[Bonus Food/hr]])-TblProd[[#This Row],[Food decay]]-TblProd[[#This Row],[Food eaten]],0)</f>
        <v>1654</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2035.8000000000002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661.69</v>
      </c>
      <c r="AP30" s="94">
        <f ca="1">(1+race_food_consumption)*TblPop[[#This Row],[Total]]*food_per_person*(1+tech_1_10*TblTech[[#This Row],[1-10]]+tech_7_5*TblTech[[#This Row],[7-5]] + IF(TblMagic[[#This Row],[Active Infernal Command]]&gt;0,demonic_pact_food_cons,0))</f>
        <v>264.5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46102.83333333327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91525</v>
      </c>
      <c r="BJ30" s="94">
        <f ca="1">TblProd[[#This Row],[Food]]</f>
        <v>66169</v>
      </c>
      <c r="BK30" s="94">
        <f ca="1">TblProd[[#This Row],[Lumber]]</f>
        <v>34545</v>
      </c>
      <c r="BL30" s="94">
        <f ca="1">TblProd[[#This Row],[Mana]]</f>
        <v>0</v>
      </c>
      <c r="BM30" s="94">
        <f ca="1">TblProd[[#This Row],[Ore]]</f>
        <v>0</v>
      </c>
    </row>
    <row r="31" spans="1:65" x14ac:dyDescent="0.2">
      <c r="A31" s="137">
        <v>28</v>
      </c>
      <c r="B31" s="152">
        <f ca="1">TblImps[[#This Row],[Time]]</f>
        <v>46102.874999999935</v>
      </c>
      <c r="C31" s="153"/>
      <c r="D31" s="154"/>
      <c r="E31" s="94">
        <f ca="1">TblConstr[[#This Row],[Land]]</f>
        <v>110</v>
      </c>
      <c r="F31" s="94">
        <f ca="1">TblPop[[#This Row],[Peasants]]</f>
        <v>764</v>
      </c>
      <c r="G31" s="94">
        <f ca="1">TblMili[[#This Row],[Networth (2)]]</f>
        <v>2450</v>
      </c>
      <c r="H31" s="94">
        <f ca="1">OFFSET(TblProd[[#This Row],[Platinum]],-1,0)+OFFSET(TblProd[[#This Row],[Plat/hr]],-1,0) - TblProd[[#This Row],[Expenses Platinum]] + IF(TblProd[[#This Row],[Plat Bonus]],TblPop[[#This Row],[Peasants]]*4) + SUM(TblConstr[[#This Row],[Dest Hom]:[Dest Doc]])*TblConstr[[#This Row],[CPA Platinum -DB]]*tech_3_3_2*TblTech[[#This Row],[3-3]]</f>
        <v>93560</v>
      </c>
      <c r="I31" s="94">
        <f ca="1">OFFSET(TblProd[[#This Row],[Food]],-1,0)+OFFSET(TblProd[[#This Row],[Food/hr]],-1,0)+ROUNDUP((TblConstr[[#This Row],[Farms]]*80+TblConstr[[#This Row],[Docks]]*35)*(1+OFFSET(TblProd[[#This Row],[Bonus Food/hr]],-1,0)),0)</f>
        <v>67823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2062</v>
      </c>
      <c r="T31" s="94">
        <f ca="1">ROUND(TblProd[[#This Row],[Raw Food/hr]]*(1+TblProd[[#This Row],[Bonus Food/hr]])-TblProd[[#This Row],[Food decay]]-TblProd[[#This Row],[Food eaten]],0)</f>
        <v>1633</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2062.8000000000002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678.23</v>
      </c>
      <c r="AP31" s="94">
        <f ca="1">(1+race_food_consumption)*TblPop[[#This Row],[Total]]*food_per_person*(1+tech_1_10*TblTech[[#This Row],[1-10]]+tech_7_5*TblTech[[#This Row],[7-5]] + IF(TblMagic[[#This Row],[Active Infernal Command]]&gt;0,demonic_pact_food_cons,0))</f>
        <v>269</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46102.874999999935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93560</v>
      </c>
      <c r="BJ31" s="94">
        <f ca="1">TblProd[[#This Row],[Food]]</f>
        <v>67823</v>
      </c>
      <c r="BK31" s="94">
        <f ca="1">TblProd[[#This Row],[Lumber]]</f>
        <v>35200</v>
      </c>
      <c r="BL31" s="94">
        <f ca="1">TblProd[[#This Row],[Mana]]</f>
        <v>0</v>
      </c>
      <c r="BM31" s="94">
        <f ca="1">TblProd[[#This Row],[Ore]]</f>
        <v>0</v>
      </c>
    </row>
    <row r="32" spans="1:65" x14ac:dyDescent="0.2">
      <c r="A32" s="137">
        <v>29</v>
      </c>
      <c r="B32" s="152">
        <f ca="1">TblImps[[#This Row],[Time]]</f>
        <v>46102.916666666599</v>
      </c>
      <c r="C32" s="153"/>
      <c r="D32" s="154"/>
      <c r="E32" s="94">
        <f ca="1">TblConstr[[#This Row],[Land]]</f>
        <v>110</v>
      </c>
      <c r="F32" s="94">
        <f ca="1">TblPop[[#This Row],[Peasants]]</f>
        <v>756</v>
      </c>
      <c r="G32" s="94">
        <f ca="1">TblMili[[#This Row],[Networth (2)]]</f>
        <v>2450</v>
      </c>
      <c r="H32" s="94">
        <f ca="1">OFFSET(TblProd[[#This Row],[Platinum]],-1,0)+OFFSET(TblProd[[#This Row],[Plat/hr]],-1,0) - TblProd[[#This Row],[Expenses Platinum]] + IF(TblProd[[#This Row],[Plat Bonus]],TblPop[[#This Row],[Peasants]]*4) + SUM(TblConstr[[#This Row],[Dest Hom]:[Dest Doc]])*TblConstr[[#This Row],[CPA Platinum -DB]]*tech_3_3_2*TblTech[[#This Row],[3-3]]</f>
        <v>95622</v>
      </c>
      <c r="I32" s="94">
        <f ca="1">OFFSET(TblProd[[#This Row],[Food]],-1,0)+OFFSET(TblProd[[#This Row],[Food/hr]],-1,0)+ROUNDUP((TblConstr[[#This Row],[Farms]]*80+TblConstr[[#This Row],[Docks]]*35)*(1+OFFSET(TblProd[[#This Row],[Bonus Food/hr]],-1,0)),0)</f>
        <v>69456</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2041</v>
      </c>
      <c r="T32" s="94">
        <f ca="1">ROUND(TblProd[[#This Row],[Raw Food/hr]]*(1+TblProd[[#This Row],[Bonus Food/hr]])-TblProd[[#This Row],[Food decay]]-TblProd[[#This Row],[Food eaten]],0)</f>
        <v>1616</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2041.2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694.56000000000006</v>
      </c>
      <c r="AP32" s="94">
        <f ca="1">(1+race_food_consumption)*TblPop[[#This Row],[Total]]*food_per_person*(1+tech_1_10*TblTech[[#This Row],[1-10]]+tech_7_5*TblTech[[#This Row],[7-5]] + IF(TblMagic[[#This Row],[Active Infernal Command]]&gt;0,demonic_pact_food_cons,0))</f>
        <v>269</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46102.916666666599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95622</v>
      </c>
      <c r="BJ32" s="94">
        <f ca="1">TblProd[[#This Row],[Food]]</f>
        <v>69456</v>
      </c>
      <c r="BK32" s="94">
        <f ca="1">TblProd[[#This Row],[Lumber]]</f>
        <v>35848</v>
      </c>
      <c r="BL32" s="94">
        <f ca="1">TblProd[[#This Row],[Mana]]</f>
        <v>0</v>
      </c>
      <c r="BM32" s="94">
        <f ca="1">TblProd[[#This Row],[Ore]]</f>
        <v>0</v>
      </c>
    </row>
    <row r="33" spans="1:65" x14ac:dyDescent="0.2">
      <c r="A33" s="137">
        <v>30</v>
      </c>
      <c r="B33" s="152">
        <f ca="1">TblImps[[#This Row],[Time]]</f>
        <v>46102.958333333263</v>
      </c>
      <c r="C33" s="153"/>
      <c r="D33" s="154"/>
      <c r="E33" s="94">
        <f ca="1">TblConstr[[#This Row],[Land]]</f>
        <v>110</v>
      </c>
      <c r="F33" s="94">
        <f ca="1">TblPop[[#This Row],[Peasants]]</f>
        <v>748</v>
      </c>
      <c r="G33" s="94">
        <f ca="1">TblMili[[#This Row],[Networth (2)]]</f>
        <v>2450</v>
      </c>
      <c r="H33" s="94">
        <f ca="1">OFFSET(TblProd[[#This Row],[Platinum]],-1,0)+OFFSET(TblProd[[#This Row],[Plat/hr]],-1,0) - TblProd[[#This Row],[Expenses Platinum]] + IF(TblProd[[#This Row],[Plat Bonus]],TblPop[[#This Row],[Peasants]]*4) + SUM(TblConstr[[#This Row],[Dest Hom]:[Dest Doc]])*TblConstr[[#This Row],[CPA Platinum -DB]]*tech_3_3_2*TblTech[[#This Row],[3-3]]</f>
        <v>97663</v>
      </c>
      <c r="I33" s="94">
        <f ca="1">OFFSET(TblProd[[#This Row],[Food]],-1,0)+OFFSET(TblProd[[#This Row],[Food/hr]],-1,0)+ROUNDUP((TblConstr[[#This Row],[Farms]]*80+TblConstr[[#This Row],[Docks]]*35)*(1+OFFSET(TblProd[[#This Row],[Bonus Food/hr]],-1,0)),0)</f>
        <v>71072</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2019</v>
      </c>
      <c r="T33" s="94">
        <f ca="1">ROUND(TblProd[[#This Row],[Raw Food/hr]]*(1+TblProd[[#This Row],[Bonus Food/hr]])-TblProd[[#This Row],[Food decay]]-TblProd[[#This Row],[Food eaten]],0)</f>
        <v>1600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2019.6000000000001</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710.72</v>
      </c>
      <c r="AP33" s="94">
        <f ca="1">(1+race_food_consumption)*TblPop[[#This Row],[Total]]*food_per_person*(1+tech_1_10*TblTech[[#This Row],[1-10]]+tech_7_5*TblTech[[#This Row],[7-5]] + IF(TblMagic[[#This Row],[Active Infernal Command]]&gt;0,demonic_pact_food_cons,0))</f>
        <v>269</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46102.958333333263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97663</v>
      </c>
      <c r="BJ33" s="94">
        <f ca="1">TblProd[[#This Row],[Food]]</f>
        <v>71072</v>
      </c>
      <c r="BK33" s="94">
        <f ca="1">TblProd[[#This Row],[Lumber]]</f>
        <v>36490</v>
      </c>
      <c r="BL33" s="94">
        <f ca="1">TblProd[[#This Row],[Mana]]</f>
        <v>0</v>
      </c>
      <c r="BM33" s="94">
        <f ca="1">TblProd[[#This Row],[Ore]]</f>
        <v>0</v>
      </c>
    </row>
    <row r="34" spans="1:65" x14ac:dyDescent="0.2">
      <c r="A34" s="137">
        <v>31</v>
      </c>
      <c r="B34" s="152">
        <f ca="1">TblImps[[#This Row],[Time]]</f>
        <v>46102.999999999927</v>
      </c>
      <c r="C34" s="153"/>
      <c r="D34" s="154"/>
      <c r="E34" s="94">
        <f ca="1">TblConstr[[#This Row],[Land]]</f>
        <v>110</v>
      </c>
      <c r="F34" s="94">
        <f ca="1">TblPop[[#This Row],[Peasants]]</f>
        <v>741</v>
      </c>
      <c r="G34" s="94">
        <f ca="1">TblMili[[#This Row],[Networth (2)]]</f>
        <v>2450</v>
      </c>
      <c r="H34" s="94">
        <f ca="1">OFFSET(TblProd[[#This Row],[Platinum]],-1,0)+OFFSET(TblProd[[#This Row],[Plat/hr]],-1,0) - TblProd[[#This Row],[Expenses Platinum]] + IF(TblProd[[#This Row],[Plat Bonus]],TblPop[[#This Row],[Peasants]]*4) + SUM(TblConstr[[#This Row],[Dest Hom]:[Dest Doc]])*TblConstr[[#This Row],[CPA Platinum -DB]]*tech_3_3_2*TblTech[[#This Row],[3-3]]</f>
        <v>99682</v>
      </c>
      <c r="I34" s="94">
        <f ca="1">OFFSET(TblProd[[#This Row],[Food]],-1,0)+OFFSET(TblProd[[#This Row],[Food/hr]],-1,0)+ROUNDUP((TblConstr[[#This Row],[Farms]]*80+TblConstr[[#This Row],[Docks]]*35)*(1+OFFSET(TblProd[[#This Row],[Bonus Food/hr]],-1,0)),0)</f>
        <v>72672</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2000</v>
      </c>
      <c r="T34" s="94">
        <f ca="1">ROUND(TblProd[[#This Row],[Raw Food/hr]]*(1+TblProd[[#This Row],[Bonus Food/hr]])-TblProd[[#This Row],[Food decay]]-TblProd[[#This Row],[Food eaten]],0)</f>
        <v>1584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2000.7</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726.72</v>
      </c>
      <c r="AP34" s="94">
        <f ca="1">(1+race_food_consumption)*TblPop[[#This Row],[Total]]*food_per_person*(1+tech_1_10*TblTech[[#This Row],[1-10]]+tech_7_5*TblTech[[#This Row],[7-5]] + IF(TblMagic[[#This Row],[Active Infernal Command]]&gt;0,demonic_pact_food_cons,0))</f>
        <v>269</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46102.999999999927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99682</v>
      </c>
      <c r="BJ34" s="94">
        <f ca="1">TblProd[[#This Row],[Food]]</f>
        <v>72672</v>
      </c>
      <c r="BK34" s="94">
        <f ca="1">TblProd[[#This Row],[Lumber]]</f>
        <v>37125</v>
      </c>
      <c r="BL34" s="94">
        <f ca="1">TblProd[[#This Row],[Mana]]</f>
        <v>0</v>
      </c>
      <c r="BM34" s="94">
        <f ca="1">TblProd[[#This Row],[Ore]]</f>
        <v>0</v>
      </c>
    </row>
    <row r="35" spans="1:65" x14ac:dyDescent="0.2">
      <c r="A35" s="137">
        <v>32</v>
      </c>
      <c r="B35" s="152">
        <f ca="1">TblImps[[#This Row],[Time]]</f>
        <v>46103.041666666591</v>
      </c>
      <c r="C35" s="153"/>
      <c r="D35" s="154"/>
      <c r="E35" s="94">
        <f ca="1">TblConstr[[#This Row],[Land]]</f>
        <v>110</v>
      </c>
      <c r="F35" s="94">
        <f ca="1">TblPop[[#This Row],[Peasants]]</f>
        <v>734</v>
      </c>
      <c r="G35" s="94">
        <f ca="1">TblMili[[#This Row],[Networth (2)]]</f>
        <v>2450</v>
      </c>
      <c r="H35" s="94">
        <f ca="1">OFFSET(TblProd[[#This Row],[Platinum]],-1,0)+OFFSET(TblProd[[#This Row],[Plat/hr]],-1,0) - TblProd[[#This Row],[Expenses Platinum]] + IF(TblProd[[#This Row],[Plat Bonus]],TblPop[[#This Row],[Peasants]]*4) + SUM(TblConstr[[#This Row],[Dest Hom]:[Dest Doc]])*TblConstr[[#This Row],[CPA Platinum -DB]]*tech_3_3_2*TblTech[[#This Row],[3-3]]</f>
        <v>101682</v>
      </c>
      <c r="I35" s="94">
        <f ca="1">OFFSET(TblProd[[#This Row],[Food]],-1,0)+OFFSET(TblProd[[#This Row],[Food/hr]],-1,0)+ROUNDUP((TblConstr[[#This Row],[Farms]]*80+TblConstr[[#This Row],[Docks]]*35)*(1+OFFSET(TblProd[[#This Row],[Bonus Food/hr]],-1,0)),0)</f>
        <v>74256</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1981</v>
      </c>
      <c r="T35" s="94">
        <f ca="1">ROUND(TblProd[[#This Row],[Raw Food/hr]]*(1+TblProd[[#This Row],[Bonus Food/hr]])-TblProd[[#This Row],[Food decay]]-TblProd[[#This Row],[Food eaten]],0)</f>
        <v>1568</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1981.8000000000002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742.56000000000006</v>
      </c>
      <c r="AP35" s="94">
        <f ca="1">(1+race_food_consumption)*TblPop[[#This Row],[Total]]*food_per_person*(1+tech_1_10*TblTech[[#This Row],[1-10]]+tech_7_5*TblTech[[#This Row],[7-5]] + IF(TblMagic[[#This Row],[Active Infernal Command]]&gt;0,demonic_pact_food_cons,0))</f>
        <v>269</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46103.041666666591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101682</v>
      </c>
      <c r="BJ35" s="94">
        <f ca="1">TblProd[[#This Row],[Food]]</f>
        <v>74256</v>
      </c>
      <c r="BK35" s="94">
        <f ca="1">TblProd[[#This Row],[Lumber]]</f>
        <v>37754</v>
      </c>
      <c r="BL35" s="94">
        <f ca="1">TblProd[[#This Row],[Mana]]</f>
        <v>0</v>
      </c>
      <c r="BM35" s="94">
        <f ca="1">TblProd[[#This Row],[Ore]]</f>
        <v>0</v>
      </c>
    </row>
    <row r="36" spans="1:65" x14ac:dyDescent="0.2">
      <c r="A36" s="137">
        <v>33</v>
      </c>
      <c r="B36" s="152">
        <f ca="1">TblImps[[#This Row],[Time]]</f>
        <v>46103.083333333256</v>
      </c>
      <c r="C36" s="153"/>
      <c r="D36" s="154"/>
      <c r="E36" s="94">
        <f ca="1">TblConstr[[#This Row],[Land]]</f>
        <v>110</v>
      </c>
      <c r="F36" s="94">
        <f ca="1">TblPop[[#This Row],[Peasants]]</f>
        <v>727</v>
      </c>
      <c r="G36" s="94">
        <f ca="1">TblMili[[#This Row],[Networth (2)]]</f>
        <v>2450</v>
      </c>
      <c r="H36" s="94">
        <f ca="1">OFFSET(TblProd[[#This Row],[Platinum]],-1,0)+OFFSET(TblProd[[#This Row],[Plat/hr]],-1,0) - TblProd[[#This Row],[Expenses Platinum]] + IF(TblProd[[#This Row],[Plat Bonus]],TblPop[[#This Row],[Peasants]]*4) + SUM(TblConstr[[#This Row],[Dest Hom]:[Dest Doc]])*TblConstr[[#This Row],[CPA Platinum -DB]]*tech_3_3_2*TblTech[[#This Row],[3-3]]</f>
        <v>103663</v>
      </c>
      <c r="I36" s="94">
        <f ca="1">OFFSET(TblProd[[#This Row],[Food]],-1,0)+OFFSET(TblProd[[#This Row],[Food/hr]],-1,0)+ROUNDUP((TblConstr[[#This Row],[Farms]]*80+TblConstr[[#This Row],[Docks]]*35)*(1+OFFSET(TblProd[[#This Row],[Bonus Food/hr]],-1,0)),0)</f>
        <v>75824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1962</v>
      </c>
      <c r="T36" s="94">
        <f ca="1">ROUND(TblProd[[#This Row],[Raw Food/hr]]*(1+TblProd[[#This Row],[Bonus Food/hr]])-TblProd[[#This Row],[Food decay]]-TblProd[[#This Row],[Food eaten]],0)</f>
        <v>1553</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1962.9</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758.24</v>
      </c>
      <c r="AP36" s="94">
        <f ca="1">(1+race_food_consumption)*TblPop[[#This Row],[Total]]*food_per_person*(1+tech_1_10*TblTech[[#This Row],[1-10]]+tech_7_5*TblTech[[#This Row],[7-5]] + IF(TblMagic[[#This Row],[Active Infernal Command]]&gt;0,demonic_pact_food_cons,0))</f>
        <v>269</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46103.083333333256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103663</v>
      </c>
      <c r="BJ36" s="94">
        <f ca="1">TblProd[[#This Row],[Food]]</f>
        <v>75824</v>
      </c>
      <c r="BK36" s="94">
        <f ca="1">TblProd[[#This Row],[Lumber]]</f>
        <v>38376</v>
      </c>
      <c r="BL36" s="94">
        <f ca="1">TblProd[[#This Row],[Mana]]</f>
        <v>0</v>
      </c>
      <c r="BM36" s="94">
        <f ca="1">TblProd[[#This Row],[Ore]]</f>
        <v>0</v>
      </c>
    </row>
    <row r="37" spans="1:65" x14ac:dyDescent="0.2">
      <c r="A37" s="137">
        <v>34</v>
      </c>
      <c r="B37" s="152">
        <f ca="1">TblImps[[#This Row],[Time]]</f>
        <v>46103.12499999992</v>
      </c>
      <c r="C37" s="153"/>
      <c r="D37" s="154"/>
      <c r="E37" s="94">
        <f ca="1">TblConstr[[#This Row],[Land]]</f>
        <v>110</v>
      </c>
      <c r="F37" s="94">
        <f ca="1">TblPop[[#This Row],[Peasants]]</f>
        <v>720</v>
      </c>
      <c r="G37" s="94">
        <f ca="1">TblMili[[#This Row],[Networth (2)]]</f>
        <v>2450</v>
      </c>
      <c r="H37" s="94">
        <f ca="1">OFFSET(TblProd[[#This Row],[Platinum]],-1,0)+OFFSET(TblProd[[#This Row],[Plat/hr]],-1,0) - TblProd[[#This Row],[Expenses Platinum]] + IF(TblProd[[#This Row],[Plat Bonus]],TblPop[[#This Row],[Peasants]]*4) + SUM(TblConstr[[#This Row],[Dest Hom]:[Dest Doc]])*TblConstr[[#This Row],[CPA Platinum -DB]]*tech_3_3_2*TblTech[[#This Row],[3-3]]</f>
        <v>105625</v>
      </c>
      <c r="I37" s="94">
        <f ca="1">OFFSET(TblProd[[#This Row],[Food]],-1,0)+OFFSET(TblProd[[#This Row],[Food/hr]],-1,0)+ROUNDUP((TblConstr[[#This Row],[Farms]]*80+TblConstr[[#This Row],[Docks]]*35)*(1+OFFSET(TblProd[[#This Row],[Bonus Food/hr]],-1,0)),0)</f>
        <v>77377</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1944</v>
      </c>
      <c r="T37" s="94">
        <f ca="1">ROUND(TblProd[[#This Row],[Raw Food/hr]]*(1+TblProd[[#This Row],[Bonus Food/hr]])-TblProd[[#This Row],[Food decay]]-TblProd[[#This Row],[Food eaten]],0)</f>
        <v>1537</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1944.0000000000002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773.77</v>
      </c>
      <c r="AP37" s="94">
        <f ca="1">(1+race_food_consumption)*TblPop[[#This Row],[Total]]*food_per_person*(1+tech_1_10*TblTech[[#This Row],[1-10]]+tech_7_5*TblTech[[#This Row],[7-5]] + IF(TblMagic[[#This Row],[Active Infernal Command]]&gt;0,demonic_pact_food_cons,0))</f>
        <v>269</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46103.12499999992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105625</v>
      </c>
      <c r="BJ37" s="94">
        <f ca="1">TblProd[[#This Row],[Food]]</f>
        <v>77377</v>
      </c>
      <c r="BK37" s="94">
        <f ca="1">TblProd[[#This Row],[Lumber]]</f>
        <v>38992</v>
      </c>
      <c r="BL37" s="94">
        <f ca="1">TblProd[[#This Row],[Mana]]</f>
        <v>0</v>
      </c>
      <c r="BM37" s="94">
        <f ca="1">TblProd[[#This Row],[Ore]]</f>
        <v>0</v>
      </c>
    </row>
    <row r="38" spans="1:65" x14ac:dyDescent="0.2">
      <c r="A38" s="137">
        <v>35</v>
      </c>
      <c r="B38" s="152">
        <f ca="1">TblImps[[#This Row],[Time]]</f>
        <v>46103.166666666584</v>
      </c>
      <c r="C38" s="153"/>
      <c r="D38" s="154"/>
      <c r="E38" s="94">
        <f ca="1">TblConstr[[#This Row],[Land]]</f>
        <v>110</v>
      </c>
      <c r="F38" s="94">
        <f ca="1">TblPop[[#This Row],[Peasants]]</f>
        <v>713</v>
      </c>
      <c r="G38" s="94">
        <f ca="1">TblMili[[#This Row],[Networth (2)]]</f>
        <v>2450</v>
      </c>
      <c r="H38" s="94">
        <f ca="1">OFFSET(TblProd[[#This Row],[Platinum]],-1,0)+OFFSET(TblProd[[#This Row],[Plat/hr]],-1,0) - TblProd[[#This Row],[Expenses Platinum]] + IF(TblProd[[#This Row],[Plat Bonus]],TblPop[[#This Row],[Peasants]]*4) + SUM(TblConstr[[#This Row],[Dest Hom]:[Dest Doc]])*TblConstr[[#This Row],[CPA Platinum -DB]]*tech_3_3_2*TblTech[[#This Row],[3-3]]</f>
        <v>107569</v>
      </c>
      <c r="I38" s="94">
        <f ca="1">OFFSET(TblProd[[#This Row],[Food]],-1,0)+OFFSET(TblProd[[#This Row],[Food/hr]],-1,0)+ROUNDUP((TblConstr[[#This Row],[Farms]]*80+TblConstr[[#This Row],[Docks]]*35)*(1+OFFSET(TblProd[[#This Row],[Bonus Food/hr]],-1,0)),0)</f>
        <v>78914</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1925</v>
      </c>
      <c r="T38" s="94">
        <f ca="1">ROUND(TblProd[[#This Row],[Raw Food/hr]]*(1+TblProd[[#This Row],[Bonus Food/hr]])-TblProd[[#This Row],[Food decay]]-TblProd[[#This Row],[Food eaten]],0)</f>
        <v>1522</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1925.1000000000001</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789.14</v>
      </c>
      <c r="AP38" s="94">
        <f ca="1">(1+race_food_consumption)*TblPop[[#This Row],[Total]]*food_per_person*(1+tech_1_10*TblTech[[#This Row],[1-10]]+tech_7_5*TblTech[[#This Row],[7-5]] + IF(TblMagic[[#This Row],[Active Infernal Command]]&gt;0,demonic_pact_food_cons,0))</f>
        <v>269</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46103.166666666584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107569</v>
      </c>
      <c r="BJ38" s="94">
        <f ca="1">TblProd[[#This Row],[Food]]</f>
        <v>78914</v>
      </c>
      <c r="BK38" s="94">
        <f ca="1">TblProd[[#This Row],[Lumber]]</f>
        <v>39602</v>
      </c>
      <c r="BL38" s="94">
        <f ca="1">TblProd[[#This Row],[Mana]]</f>
        <v>0</v>
      </c>
      <c r="BM38" s="94">
        <f ca="1">TblProd[[#This Row],[Ore]]</f>
        <v>0</v>
      </c>
    </row>
    <row r="39" spans="1:65" x14ac:dyDescent="0.2">
      <c r="A39" s="137">
        <v>36</v>
      </c>
      <c r="B39" s="152">
        <f ca="1">TblImps[[#This Row],[Time]]</f>
        <v>46103.208333333248</v>
      </c>
      <c r="C39" s="153"/>
      <c r="D39" s="154"/>
      <c r="E39" s="94">
        <f ca="1">TblConstr[[#This Row],[Land]]</f>
        <v>110</v>
      </c>
      <c r="F39" s="94">
        <f ca="1">TblPop[[#This Row],[Peasants]]</f>
        <v>706</v>
      </c>
      <c r="G39" s="94">
        <f ca="1">TblMili[[#This Row],[Networth (2)]]</f>
        <v>2450</v>
      </c>
      <c r="H39" s="94">
        <f ca="1">OFFSET(TblProd[[#This Row],[Platinum]],-1,0)+OFFSET(TblProd[[#This Row],[Plat/hr]],-1,0) - TblProd[[#This Row],[Expenses Platinum]] + IF(TblProd[[#This Row],[Plat Bonus]],TblPop[[#This Row],[Peasants]]*4) + SUM(TblConstr[[#This Row],[Dest Hom]:[Dest Doc]])*TblConstr[[#This Row],[CPA Platinum -DB]]*tech_3_3_2*TblTech[[#This Row],[3-3]]</f>
        <v>109494</v>
      </c>
      <c r="I39" s="94">
        <f ca="1">OFFSET(TblProd[[#This Row],[Food]],-1,0)+OFFSET(TblProd[[#This Row],[Food/hr]],-1,0)+ROUNDUP((TblConstr[[#This Row],[Farms]]*80+TblConstr[[#This Row],[Docks]]*35)*(1+OFFSET(TblProd[[#This Row],[Bonus Food/hr]],-1,0)),0)</f>
        <v>80436</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1906</v>
      </c>
      <c r="T39" s="94">
        <f ca="1">ROUND(TblProd[[#This Row],[Raw Food/hr]]*(1+TblProd[[#This Row],[Bonus Food/hr]])-TblProd[[#This Row],[Food decay]]-TblProd[[#This Row],[Food eaten]],0)</f>
        <v>1507</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1906.2</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804.36</v>
      </c>
      <c r="AP39" s="94">
        <f ca="1">(1+race_food_consumption)*TblPop[[#This Row],[Total]]*food_per_person*(1+tech_1_10*TblTech[[#This Row],[1-10]]+tech_7_5*TblTech[[#This Row],[7-5]] + IF(TblMagic[[#This Row],[Active Infernal Command]]&gt;0,demonic_pact_food_cons,0))</f>
        <v>269</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46103.208333333248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109494</v>
      </c>
      <c r="BJ39" s="94">
        <f ca="1">TblProd[[#This Row],[Food]]</f>
        <v>80436</v>
      </c>
      <c r="BK39" s="94">
        <f ca="1">TblProd[[#This Row],[Lumber]]</f>
        <v>40206</v>
      </c>
      <c r="BL39" s="94">
        <f ca="1">TblProd[[#This Row],[Mana]]</f>
        <v>0</v>
      </c>
      <c r="BM39" s="94">
        <f ca="1">TblProd[[#This Row],[Ore]]</f>
        <v>0</v>
      </c>
    </row>
    <row r="40" spans="1:65" s="5" customFormat="1" x14ac:dyDescent="0.2">
      <c r="A40" s="144" t="s">
        <v>229</v>
      </c>
      <c r="B40" s="160">
        <f ca="1">TblImps[[#This Row],[Time]]</f>
        <v>46103.249999999913</v>
      </c>
      <c r="C40" s="161"/>
      <c r="D40" s="162"/>
      <c r="E40" s="35">
        <f ca="1">TblConstr[[#This Row],[Land]]</f>
        <v>110</v>
      </c>
      <c r="F40" s="35">
        <f ca="1">TblPop[[#This Row],[Peasants]]</f>
        <v>699</v>
      </c>
      <c r="G40" s="35">
        <f ca="1">TblMili[[#This Row],[Networth (2)]]</f>
        <v>2450</v>
      </c>
      <c r="H40" s="35">
        <f ca="1">OFFSET(TblProd[[#This Row],[Platinum]],-1,0)+OFFSET(TblProd[[#This Row],[Plat/hr]],-1,0) - TblProd[[#This Row],[Expenses Platinum]] + IF(TblProd[[#This Row],[Plat Bonus]],TblPop[[#This Row],[Peasants]]*4) + SUM(TblConstr[[#This Row],[Dest Hom]:[Dest Doc]])*TblConstr[[#This Row],[CPA Platinum -DB]]*tech_3_3_2*TblTech[[#This Row],[3-3]]</f>
        <v>111400</v>
      </c>
      <c r="I40" s="35">
        <f ca="1">OFFSET(TblProd[[#This Row],[Food]],-1,0)+OFFSET(TblProd[[#This Row],[Food/hr]],-1,0)+ROUNDUP((TblConstr[[#This Row],[Farms]]*80+TblConstr[[#This Row],[Docks]]*35)*(1+OFFSET(TblProd[[#This Row],[Bonus Food/hr]],-1,0)),0)</f>
        <v>81943</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MAX(_xlfn.CEILING.MATH(TblProd[[#This Row],[Land]]*2.5+IFERROR(OFFSET(TblTech[[#This Row],[Sum of tech]],-1,0)*50,0)),3750)</f>
        <v>3750</v>
      </c>
      <c r="R40" s="149"/>
      <c r="S40" s="35">
        <f ca="1">ROUNDDOWN(TblProd[[#This Row],[Raw Plat/hr]]*(1+TblProd[[#This Row],[Bonus Plat/hr]]),0)</f>
        <v>1887</v>
      </c>
      <c r="T40" s="35">
        <f ca="1">ROUND(TblProd[[#This Row],[Raw Food/hr]]*(1+TblProd[[#This Row],[Bonus Food/hr]])-TblProd[[#This Row],[Food decay]]-TblProd[[#This Row],[Food eaten]],0)</f>
        <v>1492</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1887.3000000000002</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819.43000000000006</v>
      </c>
      <c r="AP40" s="35">
        <f ca="1">(1+race_food_consumption)*TblPop[[#This Row],[Total]]*food_per_person*(1+tech_1_10*TblTech[[#This Row],[1-10]]+tech_7_5*TblTech[[#This Row],[7-5]] + IF(TblMagic[[#This Row],[Active Infernal Command]]&gt;0,demonic_pact_food_cons,0))</f>
        <v>269</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46103.249999999913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111400</v>
      </c>
      <c r="BJ40" s="35">
        <f ca="1">TblProd[[#This Row],[Food]]</f>
        <v>81943</v>
      </c>
      <c r="BK40" s="35">
        <f ca="1">TblProd[[#This Row],[Lumber]]</f>
        <v>40804</v>
      </c>
      <c r="BL40" s="35">
        <f ca="1">TblProd[[#This Row],[Mana]]</f>
        <v>0</v>
      </c>
      <c r="BM40" s="35">
        <f ca="1">TblProd[[#This Row],[Ore]]</f>
        <v>0</v>
      </c>
    </row>
    <row r="41" spans="1:65" x14ac:dyDescent="0.2">
      <c r="A41" s="137">
        <v>2</v>
      </c>
      <c r="B41" s="152">
        <f ca="1">TblImps[[#This Row],[Time]]</f>
        <v>46103.291666666577</v>
      </c>
      <c r="C41" s="153"/>
      <c r="D41" s="154"/>
      <c r="E41" s="94">
        <f ca="1">TblConstr[[#This Row],[Land]]</f>
        <v>110</v>
      </c>
      <c r="F41" s="94">
        <f ca="1">TblPop[[#This Row],[Peasants]]</f>
        <v>692</v>
      </c>
      <c r="G41" s="94">
        <f ca="1">TblMili[[#This Row],[Networth (2)]]</f>
        <v>2450</v>
      </c>
      <c r="H41" s="94">
        <f ca="1">OFFSET(TblProd[[#This Row],[Platinum]],-1,0)+OFFSET(TblProd[[#This Row],[Plat/hr]],-1,0) - TblProd[[#This Row],[Expenses Platinum]] + IF(TblProd[[#This Row],[Plat Bonus]],TblPop[[#This Row],[Peasants]]*4) + SUM(TblConstr[[#This Row],[Dest Hom]:[Dest Doc]])*TblConstr[[#This Row],[CPA Platinum -DB]]*tech_3_3_2*TblTech[[#This Row],[3-3]]</f>
        <v>113287</v>
      </c>
      <c r="I41" s="94">
        <f ca="1">OFFSET(TblProd[[#This Row],[Food]],-1,0)+OFFSET(TblProd[[#This Row],[Food/hr]],-1,0)+ROUNDUP((TblConstr[[#This Row],[Farms]]*80+TblConstr[[#This Row],[Docks]]*35)*(1+OFFSET(TblProd[[#This Row],[Bonus Food/hr]],-1,0)),0)</f>
        <v>83435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1868</v>
      </c>
      <c r="T41" s="94">
        <f ca="1">ROUND(TblProd[[#This Row],[Raw Food/hr]]*(1+TblProd[[#This Row],[Bonus Food/hr]])-TblProd[[#This Row],[Food decay]]-TblProd[[#This Row],[Food eaten]],0)</f>
        <v>1477</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1868.4</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834.35</v>
      </c>
      <c r="AP41" s="94">
        <f ca="1">(1+race_food_consumption)*TblPop[[#This Row],[Total]]*food_per_person*(1+tech_1_10*TblTech[[#This Row],[1-10]]+tech_7_5*TblTech[[#This Row],[7-5]] + IF(TblMagic[[#This Row],[Active Infernal Command]]&gt;0,demonic_pact_food_cons,0))</f>
        <v>269</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46103.291666666577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113287</v>
      </c>
      <c r="BJ41" s="94">
        <f ca="1">TblProd[[#This Row],[Food]]</f>
        <v>83435</v>
      </c>
      <c r="BK41" s="94">
        <f ca="1">TblProd[[#This Row],[Lumber]]</f>
        <v>41396</v>
      </c>
      <c r="BL41" s="94">
        <f ca="1">TblProd[[#This Row],[Mana]]</f>
        <v>0</v>
      </c>
      <c r="BM41" s="94">
        <f ca="1">TblProd[[#This Row],[Ore]]</f>
        <v>0</v>
      </c>
    </row>
    <row r="42" spans="1:65" x14ac:dyDescent="0.2">
      <c r="A42" s="137">
        <f>A41+1</f>
        <v>3</v>
      </c>
      <c r="B42" s="152">
        <f ca="1">TblImps[[#This Row],[Time]]</f>
        <v>46103.333333333241</v>
      </c>
      <c r="C42" s="153"/>
      <c r="D42" s="154"/>
      <c r="E42" s="94">
        <f ca="1">TblConstr[[#This Row],[Land]]</f>
        <v>110</v>
      </c>
      <c r="F42" s="94">
        <f ca="1">TblPop[[#This Row],[Peasants]]</f>
        <v>685</v>
      </c>
      <c r="G42" s="94">
        <f ca="1">TblMili[[#This Row],[Networth (2)]]</f>
        <v>2450</v>
      </c>
      <c r="H42" s="94">
        <f ca="1">OFFSET(TblProd[[#This Row],[Platinum]],-1,0)+OFFSET(TblProd[[#This Row],[Plat/hr]],-1,0) - TblProd[[#This Row],[Expenses Platinum]] + IF(TblProd[[#This Row],[Plat Bonus]],TblPop[[#This Row],[Peasants]]*4) + SUM(TblConstr[[#This Row],[Dest Hom]:[Dest Doc]])*TblConstr[[#This Row],[CPA Platinum -DB]]*tech_3_3_2*TblTech[[#This Row],[3-3]]</f>
        <v>115155</v>
      </c>
      <c r="I42" s="94">
        <f ca="1">OFFSET(TblProd[[#This Row],[Food]],-1,0)+OFFSET(TblProd[[#This Row],[Food/hr]],-1,0)+ROUNDUP((TblConstr[[#This Row],[Farms]]*80+TblConstr[[#This Row],[Docks]]*35)*(1+OFFSET(TblProd[[#This Row],[Bonus Food/hr]],-1,0)),0)</f>
        <v>84912</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1849</v>
      </c>
      <c r="T42" s="94">
        <f ca="1">ROUND(TblProd[[#This Row],[Raw Food/hr]]*(1+TblProd[[#This Row],[Bonus Food/hr]])-TblProd[[#This Row],[Food decay]]-TblProd[[#This Row],[Food eaten]],0)</f>
        <v>1462</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1849.5000000000002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849.12</v>
      </c>
      <c r="AP42" s="94">
        <f ca="1">(1+race_food_consumption)*TblPop[[#This Row],[Total]]*food_per_person*(1+tech_1_10*TblTech[[#This Row],[1-10]]+tech_7_5*TblTech[[#This Row],[7-5]] + IF(TblMagic[[#This Row],[Active Infernal Command]]&gt;0,demonic_pact_food_cons,0))</f>
        <v>269</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46103.333333333241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115155</v>
      </c>
      <c r="BJ42" s="94">
        <f ca="1">TblProd[[#This Row],[Food]]</f>
        <v>84912</v>
      </c>
      <c r="BK42" s="94">
        <f ca="1">TblProd[[#This Row],[Lumber]]</f>
        <v>41982</v>
      </c>
      <c r="BL42" s="94">
        <f ca="1">TblProd[[#This Row],[Mana]]</f>
        <v>0</v>
      </c>
      <c r="BM42" s="94">
        <f ca="1">TblProd[[#This Row],[Ore]]</f>
        <v>0</v>
      </c>
    </row>
    <row r="43" spans="1:65" x14ac:dyDescent="0.2">
      <c r="A43" s="137">
        <f t="shared" ref="A43:A106" si="0">A42+1</f>
        <v>4</v>
      </c>
      <c r="B43" s="152">
        <f ca="1">TblImps[[#This Row],[Time]]</f>
        <v>46103.374999999905</v>
      </c>
      <c r="C43" s="153"/>
      <c r="D43" s="154"/>
      <c r="E43" s="94">
        <f ca="1">TblConstr[[#This Row],[Land]]</f>
        <v>110</v>
      </c>
      <c r="F43" s="94">
        <f ca="1">TblPop[[#This Row],[Peasants]]</f>
        <v>678</v>
      </c>
      <c r="G43" s="94">
        <f ca="1">TblMili[[#This Row],[Networth (2)]]</f>
        <v>2450</v>
      </c>
      <c r="H43" s="94">
        <f ca="1">OFFSET(TblProd[[#This Row],[Platinum]],-1,0)+OFFSET(TblProd[[#This Row],[Plat/hr]],-1,0) - TblProd[[#This Row],[Expenses Platinum]] + IF(TblProd[[#This Row],[Plat Bonus]],TblPop[[#This Row],[Peasants]]*4) + SUM(TblConstr[[#This Row],[Dest Hom]:[Dest Doc]])*TblConstr[[#This Row],[CPA Platinum -DB]]*tech_3_3_2*TblTech[[#This Row],[3-3]]</f>
        <v>117004</v>
      </c>
      <c r="I43" s="94">
        <f ca="1">OFFSET(TblProd[[#This Row],[Food]],-1,0)+OFFSET(TblProd[[#This Row],[Food/hr]],-1,0)+ROUNDUP((TblConstr[[#This Row],[Farms]]*80+TblConstr[[#This Row],[Docks]]*35)*(1+OFFSET(TblProd[[#This Row],[Bonus Food/hr]],-1,0)),0)</f>
        <v>86374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1830</v>
      </c>
      <c r="T43" s="94">
        <f ca="1">ROUND(TblProd[[#This Row],[Raw Food/hr]]*(1+TblProd[[#This Row],[Bonus Food/hr]])-TblProd[[#This Row],[Food decay]]-TblProd[[#This Row],[Food eaten]],0)</f>
        <v>1447</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1830.6000000000001</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863.74</v>
      </c>
      <c r="AP43" s="94">
        <f ca="1">(1+race_food_consumption)*TblPop[[#This Row],[Total]]*food_per_person*(1+tech_1_10*TblTech[[#This Row],[1-10]]+tech_7_5*TblTech[[#This Row],[7-5]] + IF(TblMagic[[#This Row],[Active Infernal Command]]&gt;0,demonic_pact_food_cons,0))</f>
        <v>269</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46103.374999999905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117004</v>
      </c>
      <c r="BJ43" s="94">
        <f ca="1">TblProd[[#This Row],[Food]]</f>
        <v>86374</v>
      </c>
      <c r="BK43" s="94">
        <f ca="1">TblProd[[#This Row],[Lumber]]</f>
        <v>42562</v>
      </c>
      <c r="BL43" s="94">
        <f ca="1">TblProd[[#This Row],[Mana]]</f>
        <v>0</v>
      </c>
      <c r="BM43" s="94">
        <f ca="1">TblProd[[#This Row],[Ore]]</f>
        <v>0</v>
      </c>
    </row>
    <row r="44" spans="1:65" x14ac:dyDescent="0.2">
      <c r="A44" s="137">
        <f t="shared" si="0"/>
        <v>5</v>
      </c>
      <c r="B44" s="152">
        <f ca="1">TblImps[[#This Row],[Time]]</f>
        <v>46103.41666666657</v>
      </c>
      <c r="C44" s="153"/>
      <c r="D44" s="154"/>
      <c r="E44" s="94">
        <f ca="1">TblConstr[[#This Row],[Land]]</f>
        <v>110</v>
      </c>
      <c r="F44" s="94">
        <f ca="1">TblPop[[#This Row],[Peasants]]</f>
        <v>671</v>
      </c>
      <c r="G44" s="94">
        <f ca="1">TblMili[[#This Row],[Networth (2)]]</f>
        <v>2450</v>
      </c>
      <c r="H44" s="94">
        <f ca="1">OFFSET(TblProd[[#This Row],[Platinum]],-1,0)+OFFSET(TblProd[[#This Row],[Plat/hr]],-1,0) - TblProd[[#This Row],[Expenses Platinum]] + IF(TblProd[[#This Row],[Plat Bonus]],TblPop[[#This Row],[Peasants]]*4) + SUM(TblConstr[[#This Row],[Dest Hom]:[Dest Doc]])*TblConstr[[#This Row],[CPA Platinum -DB]]*tech_3_3_2*TblTech[[#This Row],[3-3]]</f>
        <v>118834</v>
      </c>
      <c r="I44" s="94">
        <f ca="1">OFFSET(TblProd[[#This Row],[Food]],-1,0)+OFFSET(TblProd[[#This Row],[Food/hr]],-1,0)+ROUNDUP((TblConstr[[#This Row],[Farms]]*80+TblConstr[[#This Row],[Docks]]*35)*(1+OFFSET(TblProd[[#This Row],[Bonus Food/hr]],-1,0)),0)</f>
        <v>87821</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1811</v>
      </c>
      <c r="T44" s="94">
        <f ca="1">ROUND(TblProd[[#This Row],[Raw Food/hr]]*(1+TblProd[[#This Row],[Bonus Food/hr]])-TblProd[[#This Row],[Food decay]]-TblProd[[#This Row],[Food eaten]],0)</f>
        <v>1433</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1811.7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878.21</v>
      </c>
      <c r="AP44" s="94">
        <f ca="1">(1+race_food_consumption)*TblPop[[#This Row],[Total]]*food_per_person*(1+tech_1_10*TblTech[[#This Row],[1-10]]+tech_7_5*TblTech[[#This Row],[7-5]] + IF(TblMagic[[#This Row],[Active Infernal Command]]&gt;0,demonic_pact_food_cons,0))</f>
        <v>269</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46103.41666666657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118834</v>
      </c>
      <c r="BJ44" s="94">
        <f ca="1">TblProd[[#This Row],[Food]]</f>
        <v>87821</v>
      </c>
      <c r="BK44" s="94">
        <f ca="1">TblProd[[#This Row],[Lumber]]</f>
        <v>43136</v>
      </c>
      <c r="BL44" s="94">
        <f ca="1">TblProd[[#This Row],[Mana]]</f>
        <v>0</v>
      </c>
      <c r="BM44" s="94">
        <f ca="1">TblProd[[#This Row],[Ore]]</f>
        <v>0</v>
      </c>
    </row>
    <row r="45" spans="1:65" x14ac:dyDescent="0.2">
      <c r="A45" s="137">
        <f t="shared" si="0"/>
        <v>6</v>
      </c>
      <c r="B45" s="152">
        <f ca="1">TblImps[[#This Row],[Time]]</f>
        <v>46103.458333333234</v>
      </c>
      <c r="C45" s="153"/>
      <c r="D45" s="154"/>
      <c r="E45" s="94">
        <f ca="1">TblConstr[[#This Row],[Land]]</f>
        <v>110</v>
      </c>
      <c r="F45" s="94">
        <f ca="1">TblPop[[#This Row],[Peasants]]</f>
        <v>664</v>
      </c>
      <c r="G45" s="94">
        <f ca="1">TblMili[[#This Row],[Networth (2)]]</f>
        <v>2450</v>
      </c>
      <c r="H45" s="94">
        <f ca="1">OFFSET(TblProd[[#This Row],[Platinum]],-1,0)+OFFSET(TblProd[[#This Row],[Plat/hr]],-1,0) - TblProd[[#This Row],[Expenses Platinum]] + IF(TblProd[[#This Row],[Plat Bonus]],TblPop[[#This Row],[Peasants]]*4) + SUM(TblConstr[[#This Row],[Dest Hom]:[Dest Doc]])*TblConstr[[#This Row],[CPA Platinum -DB]]*tech_3_3_2*TblTech[[#This Row],[3-3]]</f>
        <v>120645</v>
      </c>
      <c r="I45" s="94">
        <f ca="1">OFFSET(TblProd[[#This Row],[Food]],-1,0)+OFFSET(TblProd[[#This Row],[Food/hr]],-1,0)+ROUNDUP((TblConstr[[#This Row],[Farms]]*80+TblConstr[[#This Row],[Docks]]*35)*(1+OFFSET(TblProd[[#This Row],[Bonus Food/hr]],-1,0)),0)</f>
        <v>89254</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1792</v>
      </c>
      <c r="T45" s="94">
        <f ca="1">ROUND(TblProd[[#This Row],[Raw Food/hr]]*(1+TblProd[[#This Row],[Bonus Food/hr]])-TblProd[[#This Row],[Food decay]]-TblProd[[#This Row],[Food eaten]],0)</f>
        <v>1418</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1792.8000000000002</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892.54</v>
      </c>
      <c r="AP45" s="94">
        <f ca="1">(1+race_food_consumption)*TblPop[[#This Row],[Total]]*food_per_person*(1+tech_1_10*TblTech[[#This Row],[1-10]]+tech_7_5*TblTech[[#This Row],[7-5]] + IF(TblMagic[[#This Row],[Active Infernal Command]]&gt;0,demonic_pact_food_cons,0))</f>
        <v>269</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46103.458333333234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120645</v>
      </c>
      <c r="BJ45" s="94">
        <f ca="1">TblProd[[#This Row],[Food]]</f>
        <v>89254</v>
      </c>
      <c r="BK45" s="94">
        <f ca="1">TblProd[[#This Row],[Lumber]]</f>
        <v>43705</v>
      </c>
      <c r="BL45" s="94">
        <f ca="1">TblProd[[#This Row],[Mana]]</f>
        <v>0</v>
      </c>
      <c r="BM45" s="94">
        <f ca="1">TblProd[[#This Row],[Ore]]</f>
        <v>0</v>
      </c>
    </row>
    <row r="46" spans="1:65" x14ac:dyDescent="0.2">
      <c r="A46" s="137">
        <f t="shared" si="0"/>
        <v>7</v>
      </c>
      <c r="B46" s="152">
        <f ca="1">TblImps[[#This Row],[Time]]</f>
        <v>46103.499999999898</v>
      </c>
      <c r="C46" s="153"/>
      <c r="D46" s="154"/>
      <c r="E46" s="94">
        <f ca="1">TblConstr[[#This Row],[Land]]</f>
        <v>110</v>
      </c>
      <c r="F46" s="94">
        <f ca="1">TblPop[[#This Row],[Peasants]]</f>
        <v>657</v>
      </c>
      <c r="G46" s="94">
        <f ca="1">TblMili[[#This Row],[Networth (2)]]</f>
        <v>2450</v>
      </c>
      <c r="H46" s="94">
        <f ca="1">OFFSET(TblProd[[#This Row],[Platinum]],-1,0)+OFFSET(TblProd[[#This Row],[Plat/hr]],-1,0) - TblProd[[#This Row],[Expenses Platinum]] + IF(TblProd[[#This Row],[Plat Bonus]],TblPop[[#This Row],[Peasants]]*4) + SUM(TblConstr[[#This Row],[Dest Hom]:[Dest Doc]])*TblConstr[[#This Row],[CPA Platinum -DB]]*tech_3_3_2*TblTech[[#This Row],[3-3]]</f>
        <v>122437</v>
      </c>
      <c r="I46" s="94">
        <f ca="1">OFFSET(TblProd[[#This Row],[Food]],-1,0)+OFFSET(TblProd[[#This Row],[Food/hr]],-1,0)+ROUNDUP((TblConstr[[#This Row],[Farms]]*80+TblConstr[[#This Row],[Docks]]*35)*(1+OFFSET(TblProd[[#This Row],[Bonus Food/hr]],-1,0)),0)</f>
        <v>90672</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1773</v>
      </c>
      <c r="T46" s="94">
        <f ca="1">ROUND(TblProd[[#This Row],[Raw Food/hr]]*(1+TblProd[[#This Row],[Bonus Food/hr]])-TblProd[[#This Row],[Food decay]]-TblProd[[#This Row],[Food eaten]],0)</f>
        <v>1404</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1773.9</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906.72</v>
      </c>
      <c r="AP46" s="94">
        <f ca="1">(1+race_food_consumption)*TblPop[[#This Row],[Total]]*food_per_person*(1+tech_1_10*TblTech[[#This Row],[1-10]]+tech_7_5*TblTech[[#This Row],[7-5]] + IF(TblMagic[[#This Row],[Active Infernal Command]]&gt;0,demonic_pact_food_cons,0))</f>
        <v>269</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46103.499999999898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122437</v>
      </c>
      <c r="BJ46" s="94">
        <f ca="1">TblProd[[#This Row],[Food]]</f>
        <v>90672</v>
      </c>
      <c r="BK46" s="94">
        <f ca="1">TblProd[[#This Row],[Lumber]]</f>
        <v>44268</v>
      </c>
      <c r="BL46" s="94">
        <f ca="1">TblProd[[#This Row],[Mana]]</f>
        <v>0</v>
      </c>
      <c r="BM46" s="94">
        <f ca="1">TblProd[[#This Row],[Ore]]</f>
        <v>0</v>
      </c>
    </row>
    <row r="47" spans="1:65" x14ac:dyDescent="0.2">
      <c r="A47" s="137">
        <f t="shared" si="0"/>
        <v>8</v>
      </c>
      <c r="B47" s="152">
        <f ca="1">TblImps[[#This Row],[Time]]</f>
        <v>46103.541666666562</v>
      </c>
      <c r="C47" s="153"/>
      <c r="D47" s="154"/>
      <c r="E47" s="94">
        <f ca="1">TblConstr[[#This Row],[Land]]</f>
        <v>110</v>
      </c>
      <c r="F47" s="94">
        <f ca="1">TblPop[[#This Row],[Peasants]]</f>
        <v>650</v>
      </c>
      <c r="G47" s="94">
        <f ca="1">TblMili[[#This Row],[Networth (2)]]</f>
        <v>2450</v>
      </c>
      <c r="H47" s="94">
        <f ca="1">OFFSET(TblProd[[#This Row],[Platinum]],-1,0)+OFFSET(TblProd[[#This Row],[Plat/hr]],-1,0) - TblProd[[#This Row],[Expenses Platinum]] + IF(TblProd[[#This Row],[Plat Bonus]],TblPop[[#This Row],[Peasants]]*4) + SUM(TblConstr[[#This Row],[Dest Hom]:[Dest Doc]])*TblConstr[[#This Row],[CPA Platinum -DB]]*tech_3_3_2*TblTech[[#This Row],[3-3]]</f>
        <v>124210</v>
      </c>
      <c r="I47" s="94">
        <f ca="1">OFFSET(TblProd[[#This Row],[Food]],-1,0)+OFFSET(TblProd[[#This Row],[Food/hr]],-1,0)+ROUNDUP((TblConstr[[#This Row],[Farms]]*80+TblConstr[[#This Row],[Docks]]*35)*(1+OFFSET(TblProd[[#This Row],[Bonus Food/hr]],-1,0)),0)</f>
        <v>92076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1755</v>
      </c>
      <c r="T47" s="94">
        <f ca="1">ROUND(TblProd[[#This Row],[Raw Food/hr]]*(1+TblProd[[#This Row],[Bonus Food/hr]])-TblProd[[#This Row],[Food decay]]-TblProd[[#This Row],[Food eaten]],0)</f>
        <v>1390</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1755.0000000000002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920.76</v>
      </c>
      <c r="AP47" s="94">
        <f ca="1">(1+race_food_consumption)*TblPop[[#This Row],[Total]]*food_per_person*(1+tech_1_10*TblTech[[#This Row],[1-10]]+tech_7_5*TblTech[[#This Row],[7-5]] + IF(TblMagic[[#This Row],[Active Infernal Command]]&gt;0,demonic_pact_food_cons,0))</f>
        <v>269</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46103.541666666562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124210</v>
      </c>
      <c r="BJ47" s="94">
        <f ca="1">TblProd[[#This Row],[Food]]</f>
        <v>92076</v>
      </c>
      <c r="BK47" s="94">
        <f ca="1">TblProd[[#This Row],[Lumber]]</f>
        <v>44825</v>
      </c>
      <c r="BL47" s="94">
        <f ca="1">TblProd[[#This Row],[Mana]]</f>
        <v>0</v>
      </c>
      <c r="BM47" s="94">
        <f ca="1">TblProd[[#This Row],[Ore]]</f>
        <v>0</v>
      </c>
    </row>
    <row r="48" spans="1:65" x14ac:dyDescent="0.2">
      <c r="A48" s="137">
        <f t="shared" si="0"/>
        <v>9</v>
      </c>
      <c r="B48" s="152">
        <f ca="1">TblImps[[#This Row],[Time]]</f>
        <v>46103.583333333227</v>
      </c>
      <c r="C48" s="153"/>
      <c r="D48" s="154"/>
      <c r="E48" s="94">
        <f ca="1">TblConstr[[#This Row],[Land]]</f>
        <v>110</v>
      </c>
      <c r="F48" s="94">
        <f ca="1">TblPop[[#This Row],[Peasants]]</f>
        <v>643</v>
      </c>
      <c r="G48" s="94">
        <f ca="1">TblMili[[#This Row],[Networth (2)]]</f>
        <v>2450</v>
      </c>
      <c r="H48" s="94">
        <f ca="1">OFFSET(TblProd[[#This Row],[Platinum]],-1,0)+OFFSET(TblProd[[#This Row],[Plat/hr]],-1,0) - TblProd[[#This Row],[Expenses Platinum]] + IF(TblProd[[#This Row],[Plat Bonus]],TblPop[[#This Row],[Peasants]]*4) + SUM(TblConstr[[#This Row],[Dest Hom]:[Dest Doc]])*TblConstr[[#This Row],[CPA Platinum -DB]]*tech_3_3_2*TblTech[[#This Row],[3-3]]</f>
        <v>125965</v>
      </c>
      <c r="I48" s="94">
        <f ca="1">OFFSET(TblProd[[#This Row],[Food]],-1,0)+OFFSET(TblProd[[#This Row],[Food/hr]],-1,0)+ROUNDUP((TblConstr[[#This Row],[Farms]]*80+TblConstr[[#This Row],[Docks]]*35)*(1+OFFSET(TblProd[[#This Row],[Bonus Food/hr]],-1,0)),0)</f>
        <v>93466</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1736</v>
      </c>
      <c r="T48" s="94">
        <f ca="1">ROUND(TblProd[[#This Row],[Raw Food/hr]]*(1+TblProd[[#This Row],[Bonus Food/hr]])-TblProd[[#This Row],[Food decay]]-TblProd[[#This Row],[Food eaten]],0)</f>
        <v>1376</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1736.1000000000001</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934.66</v>
      </c>
      <c r="AP48" s="94">
        <f ca="1">(1+race_food_consumption)*TblPop[[#This Row],[Total]]*food_per_person*(1+tech_1_10*TblTech[[#This Row],[1-10]]+tech_7_5*TblTech[[#This Row],[7-5]] + IF(TblMagic[[#This Row],[Active Infernal Command]]&gt;0,demonic_pact_food_cons,0))</f>
        <v>269</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46103.583333333227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125965</v>
      </c>
      <c r="BJ48" s="94">
        <f ca="1">TblProd[[#This Row],[Food]]</f>
        <v>93466</v>
      </c>
      <c r="BK48" s="94">
        <f ca="1">TblProd[[#This Row],[Lumber]]</f>
        <v>45377</v>
      </c>
      <c r="BL48" s="94">
        <f ca="1">TblProd[[#This Row],[Mana]]</f>
        <v>0</v>
      </c>
      <c r="BM48" s="94">
        <f ca="1">TblProd[[#This Row],[Ore]]</f>
        <v>0</v>
      </c>
    </row>
    <row r="49" spans="1:65" x14ac:dyDescent="0.2">
      <c r="A49" s="137">
        <f t="shared" si="0"/>
        <v>10</v>
      </c>
      <c r="B49" s="152">
        <f ca="1">TblImps[[#This Row],[Time]]</f>
        <v>46103.624999999891</v>
      </c>
      <c r="C49" s="153"/>
      <c r="D49" s="154"/>
      <c r="E49" s="94">
        <f ca="1">TblConstr[[#This Row],[Land]]</f>
        <v>110</v>
      </c>
      <c r="F49" s="94">
        <f ca="1">TblPop[[#This Row],[Peasants]]</f>
        <v>637</v>
      </c>
      <c r="G49" s="94">
        <f ca="1">TblMili[[#This Row],[Networth (2)]]</f>
        <v>2450</v>
      </c>
      <c r="H49" s="94">
        <f ca="1">OFFSET(TblProd[[#This Row],[Platinum]],-1,0)+OFFSET(TblProd[[#This Row],[Plat/hr]],-1,0) - TblProd[[#This Row],[Expenses Platinum]] + IF(TblProd[[#This Row],[Plat Bonus]],TblPop[[#This Row],[Peasants]]*4) + SUM(TblConstr[[#This Row],[Dest Hom]:[Dest Doc]])*TblConstr[[#This Row],[CPA Platinum -DB]]*tech_3_3_2*TblTech[[#This Row],[3-3]]</f>
        <v>127701</v>
      </c>
      <c r="I49" s="94">
        <f ca="1">OFFSET(TblProd[[#This Row],[Food]],-1,0)+OFFSET(TblProd[[#This Row],[Food/hr]],-1,0)+ROUNDUP((TblConstr[[#This Row],[Farms]]*80+TblConstr[[#This Row],[Docks]]*35)*(1+OFFSET(TblProd[[#This Row],[Bonus Food/hr]],-1,0)),0)</f>
        <v>94842</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1719</v>
      </c>
      <c r="T49" s="94">
        <f ca="1">ROUND(TblProd[[#This Row],[Raw Food/hr]]*(1+TblProd[[#This Row],[Bonus Food/hr]])-TblProd[[#This Row],[Food decay]]-TblProd[[#This Row],[Food eaten]],0)</f>
        <v>1363</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1719.9</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948.42000000000007</v>
      </c>
      <c r="AP49" s="94">
        <f ca="1">(1+race_food_consumption)*TblPop[[#This Row],[Total]]*food_per_person*(1+tech_1_10*TblTech[[#This Row],[1-10]]+tech_7_5*TblTech[[#This Row],[7-5]] + IF(TblMagic[[#This Row],[Active Infernal Command]]&gt;0,demonic_pact_food_cons,0))</f>
        <v>269</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46103.624999999891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127701</v>
      </c>
      <c r="BJ49" s="94">
        <f ca="1">TblProd[[#This Row],[Food]]</f>
        <v>94842</v>
      </c>
      <c r="BK49" s="94">
        <f ca="1">TblProd[[#This Row],[Lumber]]</f>
        <v>45923</v>
      </c>
      <c r="BL49" s="94">
        <f ca="1">TblProd[[#This Row],[Mana]]</f>
        <v>0</v>
      </c>
      <c r="BM49" s="94">
        <f ca="1">TblProd[[#This Row],[Ore]]</f>
        <v>0</v>
      </c>
    </row>
    <row r="50" spans="1:65" x14ac:dyDescent="0.2">
      <c r="A50" s="137">
        <f t="shared" si="0"/>
        <v>11</v>
      </c>
      <c r="B50" s="152">
        <f ca="1">TblImps[[#This Row],[Time]]</f>
        <v>46103.666666666555</v>
      </c>
      <c r="C50" s="153"/>
      <c r="D50" s="154"/>
      <c r="E50" s="94">
        <f ca="1">TblConstr[[#This Row],[Land]]</f>
        <v>110</v>
      </c>
      <c r="F50" s="94">
        <f ca="1">TblPop[[#This Row],[Peasants]]</f>
        <v>631</v>
      </c>
      <c r="G50" s="94">
        <f ca="1">TblMili[[#This Row],[Networth (2)]]</f>
        <v>2450</v>
      </c>
      <c r="H50" s="94">
        <f ca="1">OFFSET(TblProd[[#This Row],[Platinum]],-1,0)+OFFSET(TblProd[[#This Row],[Plat/hr]],-1,0) - TblProd[[#This Row],[Expenses Platinum]] + IF(TblProd[[#This Row],[Plat Bonus]],TblPop[[#This Row],[Peasants]]*4) + SUM(TblConstr[[#This Row],[Dest Hom]:[Dest Doc]])*TblConstr[[#This Row],[CPA Platinum -DB]]*tech_3_3_2*TblTech[[#This Row],[3-3]]</f>
        <v>129420</v>
      </c>
      <c r="I50" s="94">
        <f ca="1">OFFSET(TblProd[[#This Row],[Food]],-1,0)+OFFSET(TblProd[[#This Row],[Food/hr]],-1,0)+ROUNDUP((TblConstr[[#This Row],[Farms]]*80+TblConstr[[#This Row],[Docks]]*35)*(1+OFFSET(TblProd[[#This Row],[Bonus Food/hr]],-1,0)),0)</f>
        <v>96205</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1703</v>
      </c>
      <c r="T50" s="94">
        <f ca="1">ROUND(TblProd[[#This Row],[Raw Food/hr]]*(1+TblProd[[#This Row],[Bonus Food/hr]])-TblProd[[#This Row],[Food decay]]-TblProd[[#This Row],[Food eaten]],0)</f>
        <v>1349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1703.7</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962.05000000000007</v>
      </c>
      <c r="AP50" s="94">
        <f ca="1">(1+race_food_consumption)*TblPop[[#This Row],[Total]]*food_per_person*(1+tech_1_10*TblTech[[#This Row],[1-10]]+tech_7_5*TblTech[[#This Row],[7-5]] + IF(TblMagic[[#This Row],[Active Infernal Command]]&gt;0,demonic_pact_food_cons,0))</f>
        <v>269</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46103.666666666555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129420</v>
      </c>
      <c r="BJ50" s="94">
        <f ca="1">TblProd[[#This Row],[Food]]</f>
        <v>96205</v>
      </c>
      <c r="BK50" s="94">
        <f ca="1">TblProd[[#This Row],[Lumber]]</f>
        <v>46464</v>
      </c>
      <c r="BL50" s="94">
        <f ca="1">TblProd[[#This Row],[Mana]]</f>
        <v>0</v>
      </c>
      <c r="BM50" s="94">
        <f ca="1">TblProd[[#This Row],[Ore]]</f>
        <v>0</v>
      </c>
    </row>
    <row r="51" spans="1:65" x14ac:dyDescent="0.2">
      <c r="A51" s="137">
        <f t="shared" si="0"/>
        <v>12</v>
      </c>
      <c r="B51" s="152">
        <f ca="1">TblImps[[#This Row],[Time]]</f>
        <v>46103.708333333219</v>
      </c>
      <c r="C51" s="153"/>
      <c r="D51" s="154"/>
      <c r="E51" s="94">
        <f ca="1">TblConstr[[#This Row],[Land]]</f>
        <v>110</v>
      </c>
      <c r="F51" s="94">
        <f ca="1">TblPop[[#This Row],[Peasants]]</f>
        <v>625</v>
      </c>
      <c r="G51" s="94">
        <f ca="1">TblMili[[#This Row],[Networth (2)]]</f>
        <v>2450</v>
      </c>
      <c r="H51" s="94">
        <f ca="1">OFFSET(TblProd[[#This Row],[Platinum]],-1,0)+OFFSET(TblProd[[#This Row],[Plat/hr]],-1,0) - TblProd[[#This Row],[Expenses Platinum]] + IF(TblProd[[#This Row],[Plat Bonus]],TblPop[[#This Row],[Peasants]]*4) + SUM(TblConstr[[#This Row],[Dest Hom]:[Dest Doc]])*TblConstr[[#This Row],[CPA Platinum -DB]]*tech_3_3_2*TblTech[[#This Row],[3-3]]</f>
        <v>131123</v>
      </c>
      <c r="I51" s="94">
        <f ca="1">OFFSET(TblProd[[#This Row],[Food]],-1,0)+OFFSET(TblProd[[#This Row],[Food/hr]],-1,0)+ROUNDUP((TblConstr[[#This Row],[Farms]]*80+TblConstr[[#This Row],[Docks]]*35)*(1+OFFSET(TblProd[[#This Row],[Bonus Food/hr]],-1,0)),0)</f>
        <v>97554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1687</v>
      </c>
      <c r="T51" s="94">
        <f ca="1">ROUND(TblProd[[#This Row],[Raw Food/hr]]*(1+TblProd[[#This Row],[Bonus Food/hr]])-TblProd[[#This Row],[Food decay]]-TblProd[[#This Row],[Food eaten]],0)</f>
        <v>1335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1687.5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975.54</v>
      </c>
      <c r="AP51" s="94">
        <f ca="1">(1+race_food_consumption)*TblPop[[#This Row],[Total]]*food_per_person*(1+tech_1_10*TblTech[[#This Row],[1-10]]+tech_7_5*TblTech[[#This Row],[7-5]] + IF(TblMagic[[#This Row],[Active Infernal Command]]&gt;0,demonic_pact_food_cons,0))</f>
        <v>269</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46103.708333333219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131123</v>
      </c>
      <c r="BJ51" s="94">
        <f ca="1">TblProd[[#This Row],[Food]]</f>
        <v>97554</v>
      </c>
      <c r="BK51" s="94">
        <f ca="1">TblProd[[#This Row],[Lumber]]</f>
        <v>46999</v>
      </c>
      <c r="BL51" s="94">
        <f ca="1">TblProd[[#This Row],[Mana]]</f>
        <v>0</v>
      </c>
      <c r="BM51" s="94">
        <f ca="1">TblProd[[#This Row],[Ore]]</f>
        <v>0</v>
      </c>
    </row>
    <row r="52" spans="1:65" x14ac:dyDescent="0.2">
      <c r="A52" s="137">
        <f t="shared" si="0"/>
        <v>13</v>
      </c>
      <c r="B52" s="152">
        <f ca="1">TblImps[[#This Row],[Time]]</f>
        <v>46103.749999999884</v>
      </c>
      <c r="C52" s="153"/>
      <c r="D52" s="154"/>
      <c r="E52" s="94">
        <f ca="1">TblConstr[[#This Row],[Land]]</f>
        <v>110</v>
      </c>
      <c r="F52" s="94">
        <f ca="1">TblPop[[#This Row],[Peasants]]</f>
        <v>619</v>
      </c>
      <c r="G52" s="94">
        <f ca="1">TblMili[[#This Row],[Networth (2)]]</f>
        <v>2450</v>
      </c>
      <c r="H52" s="94">
        <f ca="1">OFFSET(TblProd[[#This Row],[Platinum]],-1,0)+OFFSET(TblProd[[#This Row],[Plat/hr]],-1,0) - TblProd[[#This Row],[Expenses Platinum]] + IF(TblProd[[#This Row],[Plat Bonus]],TblPop[[#This Row],[Peasants]]*4) + SUM(TblConstr[[#This Row],[Dest Hom]:[Dest Doc]])*TblConstr[[#This Row],[CPA Platinum -DB]]*tech_3_3_2*TblTech[[#This Row],[3-3]]</f>
        <v>132810</v>
      </c>
      <c r="I52" s="94">
        <f ca="1">OFFSET(TblProd[[#This Row],[Food]],-1,0)+OFFSET(TblProd[[#This Row],[Food/hr]],-1,0)+ROUNDUP((TblConstr[[#This Row],[Farms]]*80+TblConstr[[#This Row],[Docks]]*35)*(1+OFFSET(TblProd[[#This Row],[Bonus Food/hr]],-1,0)),0)</f>
        <v>98889</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MAX(_xlfn.CEILING.MATH(TblProd[[#This Row],[Land]]*2.5+IFERROR(OFFSET(TblTech[[#This Row],[Sum of tech]],-1,0)*50,0)),3750)</f>
        <v>3750</v>
      </c>
      <c r="R52" s="142"/>
      <c r="S52" s="94">
        <f ca="1">ROUNDDOWN(TblProd[[#This Row],[Raw Plat/hr]]*(1+TblProd[[#This Row],[Bonus Plat/hr]]),0)</f>
        <v>1671</v>
      </c>
      <c r="T52" s="94">
        <f ca="1">ROUND(TblProd[[#This Row],[Raw Food/hr]]*(1+TblProd[[#This Row],[Bonus Food/hr]])-TblProd[[#This Row],[Food decay]]-TblProd[[#This Row],[Food eaten]],0)</f>
        <v>1322</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1671.3000000000002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988.89</v>
      </c>
      <c r="AP52" s="94">
        <f ca="1">(1+race_food_consumption)*TblPop[[#This Row],[Total]]*food_per_person*(1+tech_1_10*TblTech[[#This Row],[1-10]]+tech_7_5*TblTech[[#This Row],[7-5]] + IF(TblMagic[[#This Row],[Active Infernal Command]]&gt;0,demonic_pact_food_cons,0))</f>
        <v>269</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46103.749999999884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132810</v>
      </c>
      <c r="BJ52" s="94">
        <f ca="1">TblProd[[#This Row],[Food]]</f>
        <v>98889</v>
      </c>
      <c r="BK52" s="94">
        <f ca="1">TblProd[[#This Row],[Lumber]]</f>
        <v>47529</v>
      </c>
      <c r="BL52" s="94">
        <f ca="1">TblProd[[#This Row],[Mana]]</f>
        <v>0</v>
      </c>
      <c r="BM52" s="94">
        <f ca="1">TblProd[[#This Row],[Ore]]</f>
        <v>0</v>
      </c>
    </row>
    <row r="53" spans="1:65" x14ac:dyDescent="0.2">
      <c r="A53" s="137">
        <f t="shared" si="0"/>
        <v>14</v>
      </c>
      <c r="B53" s="152">
        <f ca="1">TblImps[[#This Row],[Time]]</f>
        <v>46103.791666666548</v>
      </c>
      <c r="C53" s="153"/>
      <c r="D53" s="154"/>
      <c r="E53" s="94">
        <f ca="1">TblConstr[[#This Row],[Land]]</f>
        <v>110</v>
      </c>
      <c r="F53" s="94">
        <f ca="1">TblPop[[#This Row],[Peasants]]</f>
        <v>613</v>
      </c>
      <c r="G53" s="94">
        <f ca="1">TblMili[[#This Row],[Networth (2)]]</f>
        <v>2450</v>
      </c>
      <c r="H53" s="94">
        <f ca="1">OFFSET(TblProd[[#This Row],[Platinum]],-1,0)+OFFSET(TblProd[[#This Row],[Plat/hr]],-1,0) - TblProd[[#This Row],[Expenses Platinum]] + IF(TblProd[[#This Row],[Plat Bonus]],TblPop[[#This Row],[Peasants]]*4) + SUM(TblConstr[[#This Row],[Dest Hom]:[Dest Doc]])*TblConstr[[#This Row],[CPA Platinum -DB]]*tech_3_3_2*TblTech[[#This Row],[3-3]]</f>
        <v>134481</v>
      </c>
      <c r="I53" s="94">
        <f ca="1">OFFSET(TblProd[[#This Row],[Food]],-1,0)+OFFSET(TblProd[[#This Row],[Food/hr]],-1,0)+ROUNDUP((TblConstr[[#This Row],[Farms]]*80+TblConstr[[#This Row],[Docks]]*35)*(1+OFFSET(TblProd[[#This Row],[Bonus Food/hr]],-1,0)),0)</f>
        <v>100211</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1655</v>
      </c>
      <c r="T53" s="94">
        <f ca="1">ROUND(TblProd[[#This Row],[Raw Food/hr]]*(1+TblProd[[#This Row],[Bonus Food/hr]])-TblProd[[#This Row],[Food decay]]-TblProd[[#This Row],[Food eaten]],0)</f>
        <v>1309</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1655.1000000000001</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1002.11</v>
      </c>
      <c r="AP53" s="94">
        <f ca="1">(1+race_food_consumption)*TblPop[[#This Row],[Total]]*food_per_person*(1+tech_1_10*TblTech[[#This Row],[1-10]]+tech_7_5*TblTech[[#This Row],[7-5]] + IF(TblMagic[[#This Row],[Active Infernal Command]]&gt;0,demonic_pact_food_cons,0))</f>
        <v>269</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46103.791666666548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134481</v>
      </c>
      <c r="BJ53" s="94">
        <f ca="1">TblProd[[#This Row],[Food]]</f>
        <v>100211</v>
      </c>
      <c r="BK53" s="94">
        <f ca="1">TblProd[[#This Row],[Lumber]]</f>
        <v>48054</v>
      </c>
      <c r="BL53" s="94">
        <f ca="1">TblProd[[#This Row],[Mana]]</f>
        <v>0</v>
      </c>
      <c r="BM53" s="94">
        <f ca="1">TblProd[[#This Row],[Ore]]</f>
        <v>0</v>
      </c>
    </row>
    <row r="54" spans="1:65" x14ac:dyDescent="0.2">
      <c r="A54" s="137">
        <f t="shared" si="0"/>
        <v>15</v>
      </c>
      <c r="B54" s="152">
        <f ca="1">TblImps[[#This Row],[Time]]</f>
        <v>46103.833333333212</v>
      </c>
      <c r="C54" s="153"/>
      <c r="D54" s="154"/>
      <c r="E54" s="94">
        <f ca="1">TblConstr[[#This Row],[Land]]</f>
        <v>110</v>
      </c>
      <c r="F54" s="94">
        <f ca="1">TblPop[[#This Row],[Peasants]]</f>
        <v>607</v>
      </c>
      <c r="G54" s="94">
        <f ca="1">TblMili[[#This Row],[Networth (2)]]</f>
        <v>2450</v>
      </c>
      <c r="H54" s="94">
        <f ca="1">OFFSET(TblProd[[#This Row],[Platinum]],-1,0)+OFFSET(TblProd[[#This Row],[Plat/hr]],-1,0) - TblProd[[#This Row],[Expenses Platinum]] + IF(TblProd[[#This Row],[Plat Bonus]],TblPop[[#This Row],[Peasants]]*4) + SUM(TblConstr[[#This Row],[Dest Hom]:[Dest Doc]])*TblConstr[[#This Row],[CPA Platinum -DB]]*tech_3_3_2*TblTech[[#This Row],[3-3]]</f>
        <v>136136</v>
      </c>
      <c r="I54" s="94">
        <f ca="1">OFFSET(TblProd[[#This Row],[Food]],-1,0)+OFFSET(TblProd[[#This Row],[Food/hr]],-1,0)+ROUNDUP((TblConstr[[#This Row],[Farms]]*80+TblConstr[[#This Row],[Docks]]*35)*(1+OFFSET(TblProd[[#This Row],[Bonus Food/hr]],-1,0)),0)</f>
        <v>101520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1638</v>
      </c>
      <c r="T54" s="94">
        <f ca="1">ROUND(TblProd[[#This Row],[Raw Food/hr]]*(1+TblProd[[#This Row],[Bonus Food/hr]])-TblProd[[#This Row],[Food decay]]-TblProd[[#This Row],[Food eaten]],0)</f>
        <v>1296</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1638.9</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1015.2</v>
      </c>
      <c r="AP54" s="94">
        <f ca="1">(1+race_food_consumption)*TblPop[[#This Row],[Total]]*food_per_person*(1+tech_1_10*TblTech[[#This Row],[1-10]]+tech_7_5*TblTech[[#This Row],[7-5]] + IF(TblMagic[[#This Row],[Active Infernal Command]]&gt;0,demonic_pact_food_cons,0))</f>
        <v>269</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46103.833333333212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136136</v>
      </c>
      <c r="BJ54" s="94">
        <f ca="1">TblProd[[#This Row],[Food]]</f>
        <v>101520</v>
      </c>
      <c r="BK54" s="94">
        <f ca="1">TblProd[[#This Row],[Lumber]]</f>
        <v>48573</v>
      </c>
      <c r="BL54" s="94">
        <f ca="1">TblProd[[#This Row],[Mana]]</f>
        <v>0</v>
      </c>
      <c r="BM54" s="94">
        <f ca="1">TblProd[[#This Row],[Ore]]</f>
        <v>0</v>
      </c>
    </row>
    <row r="55" spans="1:65" x14ac:dyDescent="0.2">
      <c r="A55" s="137">
        <f t="shared" si="0"/>
        <v>16</v>
      </c>
      <c r="B55" s="152">
        <f ca="1">TblImps[[#This Row],[Time]]</f>
        <v>46103.874999999876</v>
      </c>
      <c r="C55" s="153"/>
      <c r="D55" s="154"/>
      <c r="E55" s="94">
        <f ca="1">TblConstr[[#This Row],[Land]]</f>
        <v>110</v>
      </c>
      <c r="F55" s="94">
        <f ca="1">TblPop[[#This Row],[Peasants]]</f>
        <v>601</v>
      </c>
      <c r="G55" s="94">
        <f ca="1">TblMili[[#This Row],[Networth (2)]]</f>
        <v>2450</v>
      </c>
      <c r="H55" s="94">
        <f ca="1">OFFSET(TblProd[[#This Row],[Platinum]],-1,0)+OFFSET(TblProd[[#This Row],[Plat/hr]],-1,0) - TblProd[[#This Row],[Expenses Platinum]] + IF(TblProd[[#This Row],[Plat Bonus]],TblPop[[#This Row],[Peasants]]*4) + SUM(TblConstr[[#This Row],[Dest Hom]:[Dest Doc]])*TblConstr[[#This Row],[CPA Platinum -DB]]*tech_3_3_2*TblTech[[#This Row],[3-3]]</f>
        <v>137774</v>
      </c>
      <c r="I55" s="94">
        <f ca="1">OFFSET(TblProd[[#This Row],[Food]],-1,0)+OFFSET(TblProd[[#This Row],[Food/hr]],-1,0)+ROUNDUP((TblConstr[[#This Row],[Farms]]*80+TblConstr[[#This Row],[Docks]]*35)*(1+OFFSET(TblProd[[#This Row],[Bonus Food/hr]],-1,0)),0)</f>
        <v>102816</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1622</v>
      </c>
      <c r="T55" s="94">
        <f ca="1">ROUND(TblProd[[#This Row],[Raw Food/hr]]*(1+TblProd[[#This Row],[Bonus Food/hr]])-TblProd[[#This Row],[Food decay]]-TblProd[[#This Row],[Food eaten]],0)</f>
        <v>1283</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1622.7</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1028.1600000000001</v>
      </c>
      <c r="AP55" s="94">
        <f ca="1">(1+race_food_consumption)*TblPop[[#This Row],[Total]]*food_per_person*(1+tech_1_10*TblTech[[#This Row],[1-10]]+tech_7_5*TblTech[[#This Row],[7-5]] + IF(TblMagic[[#This Row],[Active Infernal Command]]&gt;0,demonic_pact_food_cons,0))</f>
        <v>269</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46103.874999999876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137774</v>
      </c>
      <c r="BJ55" s="94">
        <f ca="1">TblProd[[#This Row],[Food]]</f>
        <v>102816</v>
      </c>
      <c r="BK55" s="94">
        <f ca="1">TblProd[[#This Row],[Lumber]]</f>
        <v>49087</v>
      </c>
      <c r="BL55" s="94">
        <f ca="1">TblProd[[#This Row],[Mana]]</f>
        <v>0</v>
      </c>
      <c r="BM55" s="94">
        <f ca="1">TblProd[[#This Row],[Ore]]</f>
        <v>0</v>
      </c>
    </row>
    <row r="56" spans="1:65" x14ac:dyDescent="0.2">
      <c r="A56" s="137">
        <f t="shared" si="0"/>
        <v>17</v>
      </c>
      <c r="B56" s="152">
        <f ca="1">TblImps[[#This Row],[Time]]</f>
        <v>46103.916666666541</v>
      </c>
      <c r="C56" s="153"/>
      <c r="D56" s="154"/>
      <c r="E56" s="94">
        <f ca="1">TblConstr[[#This Row],[Land]]</f>
        <v>110</v>
      </c>
      <c r="F56" s="94">
        <f ca="1">TblPop[[#This Row],[Peasants]]</f>
        <v>595</v>
      </c>
      <c r="G56" s="94">
        <f ca="1">TblMili[[#This Row],[Networth (2)]]</f>
        <v>2450</v>
      </c>
      <c r="H56" s="94">
        <f ca="1">OFFSET(TblProd[[#This Row],[Platinum]],-1,0)+OFFSET(TblProd[[#This Row],[Plat/hr]],-1,0) - TblProd[[#This Row],[Expenses Platinum]] + IF(TblProd[[#This Row],[Plat Bonus]],TblPop[[#This Row],[Peasants]]*4) + SUM(TblConstr[[#This Row],[Dest Hom]:[Dest Doc]])*TblConstr[[#This Row],[CPA Platinum -DB]]*tech_3_3_2*TblTech[[#This Row],[3-3]]</f>
        <v>139396</v>
      </c>
      <c r="I56" s="94">
        <f ca="1">OFFSET(TblProd[[#This Row],[Food]],-1,0)+OFFSET(TblProd[[#This Row],[Food/hr]],-1,0)+ROUNDUP((TblConstr[[#This Row],[Farms]]*80+TblConstr[[#This Row],[Docks]]*35)*(1+OFFSET(TblProd[[#This Row],[Bonus Food/hr]],-1,0)),0)</f>
        <v>104099</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1606</v>
      </c>
      <c r="T56" s="94">
        <f ca="1">ROUND(TblProd[[#This Row],[Raw Food/hr]]*(1+TblProd[[#This Row],[Bonus Food/hr]])-TblProd[[#This Row],[Food decay]]-TblProd[[#This Row],[Food eaten]],0)</f>
        <v>1270</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1606.5</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1040.99</v>
      </c>
      <c r="AP56" s="94">
        <f ca="1">(1+race_food_consumption)*TblPop[[#This Row],[Total]]*food_per_person*(1+tech_1_10*TblTech[[#This Row],[1-10]]+tech_7_5*TblTech[[#This Row],[7-5]] + IF(TblMagic[[#This Row],[Active Infernal Command]]&gt;0,demonic_pact_food_cons,0))</f>
        <v>269</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46103.916666666541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139396</v>
      </c>
      <c r="BJ56" s="94">
        <f ca="1">TblProd[[#This Row],[Food]]</f>
        <v>104099</v>
      </c>
      <c r="BK56" s="94">
        <f ca="1">TblProd[[#This Row],[Lumber]]</f>
        <v>49596</v>
      </c>
      <c r="BL56" s="94">
        <f ca="1">TblProd[[#This Row],[Mana]]</f>
        <v>0</v>
      </c>
      <c r="BM56" s="94">
        <f ca="1">TblProd[[#This Row],[Ore]]</f>
        <v>0</v>
      </c>
    </row>
    <row r="57" spans="1:65" x14ac:dyDescent="0.2">
      <c r="A57" s="137">
        <f t="shared" si="0"/>
        <v>18</v>
      </c>
      <c r="B57" s="152">
        <f ca="1">TblImps[[#This Row],[Time]]</f>
        <v>46103.958333333205</v>
      </c>
      <c r="C57" s="153"/>
      <c r="D57" s="154"/>
      <c r="E57" s="94">
        <f ca="1">TblConstr[[#This Row],[Land]]</f>
        <v>110</v>
      </c>
      <c r="F57" s="94">
        <f ca="1">TblPop[[#This Row],[Peasants]]</f>
        <v>589</v>
      </c>
      <c r="G57" s="94">
        <f ca="1">TblMili[[#This Row],[Networth (2)]]</f>
        <v>2450</v>
      </c>
      <c r="H57" s="94">
        <f ca="1">OFFSET(TblProd[[#This Row],[Platinum]],-1,0)+OFFSET(TblProd[[#This Row],[Plat/hr]],-1,0) - TblProd[[#This Row],[Expenses Platinum]] + IF(TblProd[[#This Row],[Plat Bonus]],TblPop[[#This Row],[Peasants]]*4) + SUM(TblConstr[[#This Row],[Dest Hom]:[Dest Doc]])*TblConstr[[#This Row],[CPA Platinum -DB]]*tech_3_3_2*TblTech[[#This Row],[3-3]]</f>
        <v>141002</v>
      </c>
      <c r="I57" s="94">
        <f ca="1">OFFSET(TblProd[[#This Row],[Food]],-1,0)+OFFSET(TblProd[[#This Row],[Food/hr]],-1,0)+ROUNDUP((TblConstr[[#This Row],[Farms]]*80+TblConstr[[#This Row],[Docks]]*35)*(1+OFFSET(TblProd[[#This Row],[Bonus Food/hr]],-1,0)),0)</f>
        <v>105369</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1590</v>
      </c>
      <c r="T57" s="94">
        <f ca="1">ROUND(TblProd[[#This Row],[Raw Food/hr]]*(1+TblProd[[#This Row],[Bonus Food/hr]])-TblProd[[#This Row],[Food decay]]-TblProd[[#This Row],[Food eaten]],0)</f>
        <v>1257</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1590.3000000000002</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1053.69</v>
      </c>
      <c r="AP57" s="94">
        <f ca="1">(1+race_food_consumption)*TblPop[[#This Row],[Total]]*food_per_person*(1+tech_1_10*TblTech[[#This Row],[1-10]]+tech_7_5*TblTech[[#This Row],[7-5]] + IF(TblMagic[[#This Row],[Active Infernal Command]]&gt;0,demonic_pact_food_cons,0))</f>
        <v>269</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46103.958333333205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141002</v>
      </c>
      <c r="BJ57" s="94">
        <f ca="1">TblProd[[#This Row],[Food]]</f>
        <v>105369</v>
      </c>
      <c r="BK57" s="94">
        <f ca="1">TblProd[[#This Row],[Lumber]]</f>
        <v>50100</v>
      </c>
      <c r="BL57" s="94">
        <f ca="1">TblProd[[#This Row],[Mana]]</f>
        <v>0</v>
      </c>
      <c r="BM57" s="94">
        <f ca="1">TblProd[[#This Row],[Ore]]</f>
        <v>0</v>
      </c>
    </row>
    <row r="58" spans="1:65" x14ac:dyDescent="0.2">
      <c r="A58" s="137">
        <f t="shared" si="0"/>
        <v>19</v>
      </c>
      <c r="B58" s="152">
        <f ca="1">TblImps[[#This Row],[Time]]</f>
        <v>46103.999999999869</v>
      </c>
      <c r="C58" s="153"/>
      <c r="D58" s="154"/>
      <c r="E58" s="94">
        <f ca="1">TblConstr[[#This Row],[Land]]</f>
        <v>110</v>
      </c>
      <c r="F58" s="94">
        <f ca="1">TblPop[[#This Row],[Peasants]]</f>
        <v>583</v>
      </c>
      <c r="G58" s="94">
        <f ca="1">TblMili[[#This Row],[Networth (2)]]</f>
        <v>2450</v>
      </c>
      <c r="H58" s="94">
        <f ca="1">OFFSET(TblProd[[#This Row],[Platinum]],-1,0)+OFFSET(TblProd[[#This Row],[Plat/hr]],-1,0) - TblProd[[#This Row],[Expenses Platinum]] + IF(TblProd[[#This Row],[Plat Bonus]],TblPop[[#This Row],[Peasants]]*4) + SUM(TblConstr[[#This Row],[Dest Hom]:[Dest Doc]])*TblConstr[[#This Row],[CPA Platinum -DB]]*tech_3_3_2*TblTech[[#This Row],[3-3]]</f>
        <v>142592</v>
      </c>
      <c r="I58" s="94">
        <f ca="1">OFFSET(TblProd[[#This Row],[Food]],-1,0)+OFFSET(TblProd[[#This Row],[Food/hr]],-1,0)+ROUNDUP((TblConstr[[#This Row],[Farms]]*80+TblConstr[[#This Row],[Docks]]*35)*(1+OFFSET(TblProd[[#This Row],[Bonus Food/hr]],-1,0)),0)</f>
        <v>106626</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1574</v>
      </c>
      <c r="T58" s="94">
        <f ca="1">ROUND(TblProd[[#This Row],[Raw Food/hr]]*(1+TblProd[[#This Row],[Bonus Food/hr]])-TblProd[[#This Row],[Food decay]]-TblProd[[#This Row],[Food eaten]],0)</f>
        <v>1245</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1574.1000000000001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1066.26</v>
      </c>
      <c r="AP58" s="94">
        <f ca="1">(1+race_food_consumption)*TblPop[[#This Row],[Total]]*food_per_person*(1+tech_1_10*TblTech[[#This Row],[1-10]]+tech_7_5*TblTech[[#This Row],[7-5]] + IF(TblMagic[[#This Row],[Active Infernal Command]]&gt;0,demonic_pact_food_cons,0))</f>
        <v>269</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46103.999999999869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142592</v>
      </c>
      <c r="BJ58" s="94">
        <f ca="1">TblProd[[#This Row],[Food]]</f>
        <v>106626</v>
      </c>
      <c r="BK58" s="94">
        <f ca="1">TblProd[[#This Row],[Lumber]]</f>
        <v>50599</v>
      </c>
      <c r="BL58" s="94">
        <f ca="1">TblProd[[#This Row],[Mana]]</f>
        <v>0</v>
      </c>
      <c r="BM58" s="94">
        <f ca="1">TblProd[[#This Row],[Ore]]</f>
        <v>0</v>
      </c>
    </row>
    <row r="59" spans="1:65" x14ac:dyDescent="0.2">
      <c r="A59" s="137">
        <f t="shared" si="0"/>
        <v>20</v>
      </c>
      <c r="B59" s="152">
        <f ca="1">TblImps[[#This Row],[Time]]</f>
        <v>46104.041666666533</v>
      </c>
      <c r="C59" s="153"/>
      <c r="D59" s="154"/>
      <c r="E59" s="94">
        <f ca="1">TblConstr[[#This Row],[Land]]</f>
        <v>110</v>
      </c>
      <c r="F59" s="94">
        <f ca="1">TblPop[[#This Row],[Peasants]]</f>
        <v>577</v>
      </c>
      <c r="G59" s="94">
        <f ca="1">TblMili[[#This Row],[Networth (2)]]</f>
        <v>2450</v>
      </c>
      <c r="H59" s="94">
        <f ca="1">OFFSET(TblProd[[#This Row],[Platinum]],-1,0)+OFFSET(TblProd[[#This Row],[Plat/hr]],-1,0) - TblProd[[#This Row],[Expenses Platinum]] + IF(TblProd[[#This Row],[Plat Bonus]],TblPop[[#This Row],[Peasants]]*4) + SUM(TblConstr[[#This Row],[Dest Hom]:[Dest Doc]])*TblConstr[[#This Row],[CPA Platinum -DB]]*tech_3_3_2*TblTech[[#This Row],[3-3]]</f>
        <v>144166</v>
      </c>
      <c r="I59" s="94">
        <f ca="1">OFFSET(TblProd[[#This Row],[Food]],-1,0)+OFFSET(TblProd[[#This Row],[Food/hr]],-1,0)+ROUNDUP((TblConstr[[#This Row],[Farms]]*80+TblConstr[[#This Row],[Docks]]*35)*(1+OFFSET(TblProd[[#This Row],[Bonus Food/hr]],-1,0)),0)</f>
        <v>107871</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1557</v>
      </c>
      <c r="T59" s="94">
        <f ca="1">ROUND(TblProd[[#This Row],[Raw Food/hr]]*(1+TblProd[[#This Row],[Bonus Food/hr]])-TblProd[[#This Row],[Food decay]]-TblProd[[#This Row],[Food eaten]],0)</f>
        <v>1232</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1557.9</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1078.71</v>
      </c>
      <c r="AP59" s="94">
        <f ca="1">(1+race_food_consumption)*TblPop[[#This Row],[Total]]*food_per_person*(1+tech_1_10*TblTech[[#This Row],[1-10]]+tech_7_5*TblTech[[#This Row],[7-5]] + IF(TblMagic[[#This Row],[Active Infernal Command]]&gt;0,demonic_pact_food_cons,0))</f>
        <v>269</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46104.041666666533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144166</v>
      </c>
      <c r="BJ59" s="94">
        <f ca="1">TblProd[[#This Row],[Food]]</f>
        <v>107871</v>
      </c>
      <c r="BK59" s="94">
        <f ca="1">TblProd[[#This Row],[Lumber]]</f>
        <v>51093</v>
      </c>
      <c r="BL59" s="94">
        <f ca="1">TblProd[[#This Row],[Mana]]</f>
        <v>0</v>
      </c>
      <c r="BM59" s="94">
        <f ca="1">TblProd[[#This Row],[Ore]]</f>
        <v>0</v>
      </c>
    </row>
    <row r="60" spans="1:65" x14ac:dyDescent="0.2">
      <c r="A60" s="137">
        <f t="shared" si="0"/>
        <v>21</v>
      </c>
      <c r="B60" s="152">
        <f ca="1">TblImps[[#This Row],[Time]]</f>
        <v>46104.083333333198</v>
      </c>
      <c r="C60" s="153"/>
      <c r="D60" s="154"/>
      <c r="E60" s="94">
        <f ca="1">TblConstr[[#This Row],[Land]]</f>
        <v>110</v>
      </c>
      <c r="F60" s="94">
        <f ca="1">TblPop[[#This Row],[Peasants]]</f>
        <v>571</v>
      </c>
      <c r="G60" s="94">
        <f ca="1">TblMili[[#This Row],[Networth (2)]]</f>
        <v>2450</v>
      </c>
      <c r="H60" s="94">
        <f ca="1">OFFSET(TblProd[[#This Row],[Platinum]],-1,0)+OFFSET(TblProd[[#This Row],[Plat/hr]],-1,0) - TblProd[[#This Row],[Expenses Platinum]] + IF(TblProd[[#This Row],[Plat Bonus]],TblPop[[#This Row],[Peasants]]*4) + SUM(TblConstr[[#This Row],[Dest Hom]:[Dest Doc]])*TblConstr[[#This Row],[CPA Platinum -DB]]*tech_3_3_2*TblTech[[#This Row],[3-3]]</f>
        <v>145723</v>
      </c>
      <c r="I60" s="94">
        <f ca="1">OFFSET(TblProd[[#This Row],[Food]],-1,0)+OFFSET(TblProd[[#This Row],[Food/hr]],-1,0)+ROUNDUP((TblConstr[[#This Row],[Farms]]*80+TblConstr[[#This Row],[Docks]]*35)*(1+OFFSET(TblProd[[#This Row],[Bonus Food/hr]],-1,0)),0)</f>
        <v>109103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1541</v>
      </c>
      <c r="T60" s="94">
        <f ca="1">ROUND(TblProd[[#This Row],[Raw Food/hr]]*(1+TblProd[[#This Row],[Bonus Food/hr]])-TblProd[[#This Row],[Food decay]]-TblProd[[#This Row],[Food eaten]],0)</f>
        <v>1220</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1541.7</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1091.03</v>
      </c>
      <c r="AP60" s="94">
        <f ca="1">(1+race_food_consumption)*TblPop[[#This Row],[Total]]*food_per_person*(1+tech_1_10*TblTech[[#This Row],[1-10]]+tech_7_5*TblTech[[#This Row],[7-5]] + IF(TblMagic[[#This Row],[Active Infernal Command]]&gt;0,demonic_pact_food_cons,0))</f>
        <v>269</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46104.083333333198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145723</v>
      </c>
      <c r="BJ60" s="94">
        <f ca="1">TblProd[[#This Row],[Food]]</f>
        <v>109103</v>
      </c>
      <c r="BK60" s="94">
        <f ca="1">TblProd[[#This Row],[Lumber]]</f>
        <v>51582</v>
      </c>
      <c r="BL60" s="94">
        <f ca="1">TblProd[[#This Row],[Mana]]</f>
        <v>0</v>
      </c>
      <c r="BM60" s="94">
        <f ca="1">TblProd[[#This Row],[Ore]]</f>
        <v>0</v>
      </c>
    </row>
    <row r="61" spans="1:65" x14ac:dyDescent="0.2">
      <c r="A61" s="137">
        <f t="shared" si="0"/>
        <v>22</v>
      </c>
      <c r="B61" s="152">
        <f ca="1">TblImps[[#This Row],[Time]]</f>
        <v>46104.124999999862</v>
      </c>
      <c r="C61" s="153"/>
      <c r="D61" s="154"/>
      <c r="E61" s="94">
        <f ca="1">TblConstr[[#This Row],[Land]]</f>
        <v>110</v>
      </c>
      <c r="F61" s="94">
        <f ca="1">TblPop[[#This Row],[Peasants]]</f>
        <v>565</v>
      </c>
      <c r="G61" s="94">
        <f ca="1">TblMili[[#This Row],[Networth (2)]]</f>
        <v>2450</v>
      </c>
      <c r="H61" s="94">
        <f ca="1">OFFSET(TblProd[[#This Row],[Platinum]],-1,0)+OFFSET(TblProd[[#This Row],[Plat/hr]],-1,0) - TblProd[[#This Row],[Expenses Platinum]] + IF(TblProd[[#This Row],[Plat Bonus]],TblPop[[#This Row],[Peasants]]*4) + SUM(TblConstr[[#This Row],[Dest Hom]:[Dest Doc]])*TblConstr[[#This Row],[CPA Platinum -DB]]*tech_3_3_2*TblTech[[#This Row],[3-3]]</f>
        <v>147264</v>
      </c>
      <c r="I61" s="94">
        <f ca="1">OFFSET(TblProd[[#This Row],[Food]],-1,0)+OFFSET(TblProd[[#This Row],[Food/hr]],-1,0)+ROUNDUP((TblConstr[[#This Row],[Farms]]*80+TblConstr[[#This Row],[Docks]]*35)*(1+OFFSET(TblProd[[#This Row],[Bonus Food/hr]],-1,0)),0)</f>
        <v>110323</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1525</v>
      </c>
      <c r="T61" s="94">
        <f ca="1">ROUND(TblProd[[#This Row],[Raw Food/hr]]*(1+TblProd[[#This Row],[Bonus Food/hr]])-TblProd[[#This Row],[Food decay]]-TblProd[[#This Row],[Food eaten]],0)</f>
        <v>1208</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1525.5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1103.23</v>
      </c>
      <c r="AP61" s="94">
        <f ca="1">(1+race_food_consumption)*TblPop[[#This Row],[Total]]*food_per_person*(1+tech_1_10*TblTech[[#This Row],[1-10]]+tech_7_5*TblTech[[#This Row],[7-5]] + IF(TblMagic[[#This Row],[Active Infernal Command]]&gt;0,demonic_pact_food_cons,0))</f>
        <v>269</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46104.124999999862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147264</v>
      </c>
      <c r="BJ61" s="94">
        <f ca="1">TblProd[[#This Row],[Food]]</f>
        <v>110323</v>
      </c>
      <c r="BK61" s="94">
        <f ca="1">TblProd[[#This Row],[Lumber]]</f>
        <v>52066</v>
      </c>
      <c r="BL61" s="94">
        <f ca="1">TblProd[[#This Row],[Mana]]</f>
        <v>0</v>
      </c>
      <c r="BM61" s="94">
        <f ca="1">TblProd[[#This Row],[Ore]]</f>
        <v>0</v>
      </c>
    </row>
    <row r="62" spans="1:65" x14ac:dyDescent="0.2">
      <c r="A62" s="137">
        <f t="shared" si="0"/>
        <v>23</v>
      </c>
      <c r="B62" s="152">
        <f ca="1">TblImps[[#This Row],[Time]]</f>
        <v>46104.166666666526</v>
      </c>
      <c r="C62" s="153"/>
      <c r="D62" s="154"/>
      <c r="E62" s="94">
        <f ca="1">TblConstr[[#This Row],[Land]]</f>
        <v>110</v>
      </c>
      <c r="F62" s="94">
        <f ca="1">TblPop[[#This Row],[Peasants]]</f>
        <v>559</v>
      </c>
      <c r="G62" s="94">
        <f ca="1">TblMili[[#This Row],[Networth (2)]]</f>
        <v>2450</v>
      </c>
      <c r="H62" s="94">
        <f ca="1">OFFSET(TblProd[[#This Row],[Platinum]],-1,0)+OFFSET(TblProd[[#This Row],[Plat/hr]],-1,0) - TblProd[[#This Row],[Expenses Platinum]] + IF(TblProd[[#This Row],[Plat Bonus]],TblPop[[#This Row],[Peasants]]*4) + SUM(TblConstr[[#This Row],[Dest Hom]:[Dest Doc]])*TblConstr[[#This Row],[CPA Platinum -DB]]*tech_3_3_2*TblTech[[#This Row],[3-3]]</f>
        <v>148789</v>
      </c>
      <c r="I62" s="94">
        <f ca="1">OFFSET(TblProd[[#This Row],[Food]],-1,0)+OFFSET(TblProd[[#This Row],[Food/hr]],-1,0)+ROUNDUP((TblConstr[[#This Row],[Farms]]*80+TblConstr[[#This Row],[Docks]]*35)*(1+OFFSET(TblProd[[#This Row],[Bonus Food/hr]],-1,0)),0)</f>
        <v>111531</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1509</v>
      </c>
      <c r="T62" s="94">
        <f ca="1">ROUND(TblProd[[#This Row],[Raw Food/hr]]*(1+TblProd[[#This Row],[Bonus Food/hr]])-TblProd[[#This Row],[Food decay]]-TblProd[[#This Row],[Food eaten]],0)</f>
        <v>1196</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1509.3000000000002</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1115.31</v>
      </c>
      <c r="AP62" s="94">
        <f ca="1">(1+race_food_consumption)*TblPop[[#This Row],[Total]]*food_per_person*(1+tech_1_10*TblTech[[#This Row],[1-10]]+tech_7_5*TblTech[[#This Row],[7-5]] + IF(TblMagic[[#This Row],[Active Infernal Command]]&gt;0,demonic_pact_food_cons,0))</f>
        <v>269</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46104.166666666526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148789</v>
      </c>
      <c r="BJ62" s="94">
        <f ca="1">TblProd[[#This Row],[Food]]</f>
        <v>111531</v>
      </c>
      <c r="BK62" s="94">
        <f ca="1">TblProd[[#This Row],[Lumber]]</f>
        <v>52545</v>
      </c>
      <c r="BL62" s="94">
        <f ca="1">TblProd[[#This Row],[Mana]]</f>
        <v>0</v>
      </c>
      <c r="BM62" s="94">
        <f ca="1">TblProd[[#This Row],[Ore]]</f>
        <v>0</v>
      </c>
    </row>
    <row r="63" spans="1:65" x14ac:dyDescent="0.2">
      <c r="A63" s="137">
        <f t="shared" si="0"/>
        <v>24</v>
      </c>
      <c r="B63" s="152">
        <f ca="1">TblImps[[#This Row],[Time]]</f>
        <v>46104.20833333319</v>
      </c>
      <c r="C63" s="153"/>
      <c r="D63" s="154"/>
      <c r="E63" s="94">
        <f ca="1">TblConstr[[#This Row],[Land]]</f>
        <v>110</v>
      </c>
      <c r="F63" s="94">
        <f ca="1">TblPop[[#This Row],[Peasants]]</f>
        <v>553</v>
      </c>
      <c r="G63" s="94">
        <f ca="1">TblMili[[#This Row],[Networth (2)]]</f>
        <v>2450</v>
      </c>
      <c r="H63" s="94">
        <f ca="1">OFFSET(TblProd[[#This Row],[Platinum]],-1,0)+OFFSET(TblProd[[#This Row],[Plat/hr]],-1,0) - TblProd[[#This Row],[Expenses Platinum]] + IF(TblProd[[#This Row],[Plat Bonus]],TblPop[[#This Row],[Peasants]]*4) + SUM(TblConstr[[#This Row],[Dest Hom]:[Dest Doc]])*TblConstr[[#This Row],[CPA Platinum -DB]]*tech_3_3_2*TblTech[[#This Row],[3-3]]</f>
        <v>150298</v>
      </c>
      <c r="I63" s="94">
        <f ca="1">OFFSET(TblProd[[#This Row],[Food]],-1,0)+OFFSET(TblProd[[#This Row],[Food/hr]],-1,0)+ROUNDUP((TblConstr[[#This Row],[Farms]]*80+TblConstr[[#This Row],[Docks]]*35)*(1+OFFSET(TblProd[[#This Row],[Bonus Food/hr]],-1,0)),0)</f>
        <v>112727</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1493</v>
      </c>
      <c r="T63" s="94">
        <f ca="1">ROUND(TblProd[[#This Row],[Raw Food/hr]]*(1+TblProd[[#This Row],[Bonus Food/hr]])-TblProd[[#This Row],[Food decay]]-TblProd[[#This Row],[Food eaten]],0)</f>
        <v>1184</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1493.1000000000001</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1127.27</v>
      </c>
      <c r="AP63" s="94">
        <f ca="1">(1+race_food_consumption)*TblPop[[#This Row],[Total]]*food_per_person*(1+tech_1_10*TblTech[[#This Row],[1-10]]+tech_7_5*TblTech[[#This Row],[7-5]] + IF(TblMagic[[#This Row],[Active Infernal Command]]&gt;0,demonic_pact_food_cons,0))</f>
        <v>269</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46104.20833333319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150298</v>
      </c>
      <c r="BJ63" s="94">
        <f ca="1">TblProd[[#This Row],[Food]]</f>
        <v>112727</v>
      </c>
      <c r="BK63" s="94">
        <f ca="1">TblProd[[#This Row],[Lumber]]</f>
        <v>53020</v>
      </c>
      <c r="BL63" s="94">
        <f ca="1">TblProd[[#This Row],[Mana]]</f>
        <v>0</v>
      </c>
      <c r="BM63" s="94">
        <f ca="1">TblProd[[#This Row],[Ore]]</f>
        <v>0</v>
      </c>
    </row>
    <row r="64" spans="1:65" x14ac:dyDescent="0.2">
      <c r="A64" s="137">
        <f t="shared" si="0"/>
        <v>25</v>
      </c>
      <c r="B64" s="152">
        <f ca="1">TblImps[[#This Row],[Time]]</f>
        <v>46104.249999999854</v>
      </c>
      <c r="C64" s="153"/>
      <c r="D64" s="154"/>
      <c r="E64" s="94">
        <f ca="1">TblConstr[[#This Row],[Land]]</f>
        <v>110</v>
      </c>
      <c r="F64" s="94">
        <f ca="1">TblPop[[#This Row],[Peasants]]</f>
        <v>547</v>
      </c>
      <c r="G64" s="94">
        <f ca="1">TblMili[[#This Row],[Networth (2)]]</f>
        <v>2450</v>
      </c>
      <c r="H64" s="94">
        <f ca="1">OFFSET(TblProd[[#This Row],[Platinum]],-1,0)+OFFSET(TblProd[[#This Row],[Plat/hr]],-1,0) - TblProd[[#This Row],[Expenses Platinum]] + IF(TblProd[[#This Row],[Plat Bonus]],TblPop[[#This Row],[Peasants]]*4) + SUM(TblConstr[[#This Row],[Dest Hom]:[Dest Doc]])*TblConstr[[#This Row],[CPA Platinum -DB]]*tech_3_3_2*TblTech[[#This Row],[3-3]]</f>
        <v>151791</v>
      </c>
      <c r="I64" s="94">
        <f ca="1">OFFSET(TblProd[[#This Row],[Food]],-1,0)+OFFSET(TblProd[[#This Row],[Food/hr]],-1,0)+ROUNDUP((TblConstr[[#This Row],[Farms]]*80+TblConstr[[#This Row],[Docks]]*35)*(1+OFFSET(TblProd[[#This Row],[Bonus Food/hr]],-1,0)),0)</f>
        <v>113911</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1476</v>
      </c>
      <c r="T64" s="94">
        <f ca="1">ROUND(TblProd[[#This Row],[Raw Food/hr]]*(1+TblProd[[#This Row],[Bonus Food/hr]])-TblProd[[#This Row],[Food decay]]-TblProd[[#This Row],[Food eaten]],0)</f>
        <v>1172</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1476.9</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1139.1100000000001</v>
      </c>
      <c r="AP64" s="94">
        <f ca="1">(1+race_food_consumption)*TblPop[[#This Row],[Total]]*food_per_person*(1+tech_1_10*TblTech[[#This Row],[1-10]]+tech_7_5*TblTech[[#This Row],[7-5]] + IF(TblMagic[[#This Row],[Active Infernal Command]]&gt;0,demonic_pact_food_cons,0))</f>
        <v>269</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46104.249999999854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151791</v>
      </c>
      <c r="BJ64" s="94">
        <f ca="1">TblProd[[#This Row],[Food]]</f>
        <v>113911</v>
      </c>
      <c r="BK64" s="94">
        <f ca="1">TblProd[[#This Row],[Lumber]]</f>
        <v>53490</v>
      </c>
      <c r="BL64" s="94">
        <f ca="1">TblProd[[#This Row],[Mana]]</f>
        <v>0</v>
      </c>
      <c r="BM64" s="94">
        <f ca="1">TblProd[[#This Row],[Ore]]</f>
        <v>0</v>
      </c>
    </row>
    <row r="65" spans="1:65" x14ac:dyDescent="0.2">
      <c r="A65" s="137">
        <f t="shared" si="0"/>
        <v>26</v>
      </c>
      <c r="B65" s="152">
        <f ca="1">TblImps[[#This Row],[Time]]</f>
        <v>46104.291666666519</v>
      </c>
      <c r="C65" s="153"/>
      <c r="D65" s="154"/>
      <c r="E65" s="94">
        <f ca="1">TblConstr[[#This Row],[Land]]</f>
        <v>110</v>
      </c>
      <c r="F65" s="94">
        <f ca="1">TblPop[[#This Row],[Peasants]]</f>
        <v>542</v>
      </c>
      <c r="G65" s="94">
        <f ca="1">TblMili[[#This Row],[Networth (2)]]</f>
        <v>2450</v>
      </c>
      <c r="H65" s="94">
        <f ca="1">OFFSET(TblProd[[#This Row],[Platinum]],-1,0)+OFFSET(TblProd[[#This Row],[Plat/hr]],-1,0) - TblProd[[#This Row],[Expenses Platinum]] + IF(TblProd[[#This Row],[Plat Bonus]],TblPop[[#This Row],[Peasants]]*4) + SUM(TblConstr[[#This Row],[Dest Hom]:[Dest Doc]])*TblConstr[[#This Row],[CPA Platinum -DB]]*tech_3_3_2*TblTech[[#This Row],[3-3]]</f>
        <v>153267</v>
      </c>
      <c r="I65" s="94">
        <f ca="1">OFFSET(TblProd[[#This Row],[Food]],-1,0)+OFFSET(TblProd[[#This Row],[Food/hr]],-1,0)+ROUNDUP((TblConstr[[#This Row],[Farms]]*80+TblConstr[[#This Row],[Docks]]*35)*(1+OFFSET(TblProd[[#This Row],[Bonus Food/hr]],-1,0)),0)</f>
        <v>115083</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1463</v>
      </c>
      <c r="T65" s="94">
        <f ca="1">ROUND(TblProd[[#This Row],[Raw Food/hr]]*(1+TblProd[[#This Row],[Bonus Food/hr]])-TblProd[[#This Row],[Food decay]]-TblProd[[#This Row],[Food eaten]],0)</f>
        <v>1160</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1463.4</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1150.83</v>
      </c>
      <c r="AP65" s="94">
        <f ca="1">(1+race_food_consumption)*TblPop[[#This Row],[Total]]*food_per_person*(1+tech_1_10*TblTech[[#This Row],[1-10]]+tech_7_5*TblTech[[#This Row],[7-5]] + IF(TblMagic[[#This Row],[Active Infernal Command]]&gt;0,demonic_pact_food_cons,0))</f>
        <v>269</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46104.291666666519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153267</v>
      </c>
      <c r="BJ65" s="94">
        <f ca="1">TblProd[[#This Row],[Food]]</f>
        <v>115083</v>
      </c>
      <c r="BK65" s="94">
        <f ca="1">TblProd[[#This Row],[Lumber]]</f>
        <v>53955</v>
      </c>
      <c r="BL65" s="94">
        <f ca="1">TblProd[[#This Row],[Mana]]</f>
        <v>0</v>
      </c>
      <c r="BM65" s="94">
        <f ca="1">TblProd[[#This Row],[Ore]]</f>
        <v>0</v>
      </c>
    </row>
    <row r="66" spans="1:65" x14ac:dyDescent="0.2">
      <c r="A66" s="137">
        <f t="shared" si="0"/>
        <v>27</v>
      </c>
      <c r="B66" s="152">
        <f ca="1">TblImps[[#This Row],[Time]]</f>
        <v>46104.333333333183</v>
      </c>
      <c r="C66" s="153"/>
      <c r="D66" s="154"/>
      <c r="E66" s="94">
        <f ca="1">TblConstr[[#This Row],[Land]]</f>
        <v>110</v>
      </c>
      <c r="F66" s="94">
        <f ca="1">TblPop[[#This Row],[Peasants]]</f>
        <v>537</v>
      </c>
      <c r="G66" s="94">
        <f ca="1">TblMili[[#This Row],[Networth (2)]]</f>
        <v>2450</v>
      </c>
      <c r="H66" s="94">
        <f ca="1">OFFSET(TblProd[[#This Row],[Platinum]],-1,0)+OFFSET(TblProd[[#This Row],[Plat/hr]],-1,0) - TblProd[[#This Row],[Expenses Platinum]] + IF(TblProd[[#This Row],[Plat Bonus]],TblPop[[#This Row],[Peasants]]*4) + SUM(TblConstr[[#This Row],[Dest Hom]:[Dest Doc]])*TblConstr[[#This Row],[CPA Platinum -DB]]*tech_3_3_2*TblTech[[#This Row],[3-3]]</f>
        <v>154730</v>
      </c>
      <c r="I66" s="94">
        <f ca="1">OFFSET(TblProd[[#This Row],[Food]],-1,0)+OFFSET(TblProd[[#This Row],[Food/hr]],-1,0)+ROUNDUP((TblConstr[[#This Row],[Farms]]*80+TblConstr[[#This Row],[Docks]]*35)*(1+OFFSET(TblProd[[#This Row],[Bonus Food/hr]],-1,0)),0)</f>
        <v>116243</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1449</v>
      </c>
      <c r="T66" s="94">
        <f ca="1">ROUND(TblProd[[#This Row],[Raw Food/hr]]*(1+TblProd[[#This Row],[Bonus Food/hr]])-TblProd[[#This Row],[Food decay]]-TblProd[[#This Row],[Food eaten]],0)</f>
        <v>1149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1449.9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1162.43</v>
      </c>
      <c r="AP66" s="94">
        <f ca="1">(1+race_food_consumption)*TblPop[[#This Row],[Total]]*food_per_person*(1+tech_1_10*TblTech[[#This Row],[1-10]]+tech_7_5*TblTech[[#This Row],[7-5]] + IF(TblMagic[[#This Row],[Active Infernal Command]]&gt;0,demonic_pact_food_cons,0))</f>
        <v>269</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46104.333333333183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154730</v>
      </c>
      <c r="BJ66" s="94">
        <f ca="1">TblProd[[#This Row],[Food]]</f>
        <v>116243</v>
      </c>
      <c r="BK66" s="94">
        <f ca="1">TblProd[[#This Row],[Lumber]]</f>
        <v>54415</v>
      </c>
      <c r="BL66" s="94">
        <f ca="1">TblProd[[#This Row],[Mana]]</f>
        <v>0</v>
      </c>
      <c r="BM66" s="94">
        <f ca="1">TblProd[[#This Row],[Ore]]</f>
        <v>0</v>
      </c>
    </row>
    <row r="67" spans="1:65" x14ac:dyDescent="0.2">
      <c r="A67" s="137">
        <f t="shared" si="0"/>
        <v>28</v>
      </c>
      <c r="B67" s="152">
        <f ca="1">TblImps[[#This Row],[Time]]</f>
        <v>46104.374999999847</v>
      </c>
      <c r="C67" s="153"/>
      <c r="D67" s="154"/>
      <c r="E67" s="94">
        <f ca="1">TblConstr[[#This Row],[Land]]</f>
        <v>110</v>
      </c>
      <c r="F67" s="94">
        <f ca="1">TblPop[[#This Row],[Peasants]]</f>
        <v>532</v>
      </c>
      <c r="G67" s="94">
        <f ca="1">TblMili[[#This Row],[Networth (2)]]</f>
        <v>2450</v>
      </c>
      <c r="H67" s="94">
        <f ca="1">OFFSET(TblProd[[#This Row],[Platinum]],-1,0)+OFFSET(TblProd[[#This Row],[Plat/hr]],-1,0) - TblProd[[#This Row],[Expenses Platinum]] + IF(TblProd[[#This Row],[Plat Bonus]],TblPop[[#This Row],[Peasants]]*4) + SUM(TblConstr[[#This Row],[Dest Hom]:[Dest Doc]])*TblConstr[[#This Row],[CPA Platinum -DB]]*tech_3_3_2*TblTech[[#This Row],[3-3]]</f>
        <v>156179</v>
      </c>
      <c r="I67" s="94">
        <f ca="1">OFFSET(TblProd[[#This Row],[Food]],-1,0)+OFFSET(TblProd[[#This Row],[Food/hr]],-1,0)+ROUNDUP((TblConstr[[#This Row],[Farms]]*80+TblConstr[[#This Row],[Docks]]*35)*(1+OFFSET(TblProd[[#This Row],[Bonus Food/hr]],-1,0)),0)</f>
        <v>117392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1436</v>
      </c>
      <c r="T67" s="94">
        <f ca="1">ROUND(TblProd[[#This Row],[Raw Food/hr]]*(1+TblProd[[#This Row],[Bonus Food/hr]])-TblProd[[#This Row],[Food decay]]-TblProd[[#This Row],[Food eaten]],0)</f>
        <v>1137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1436.4</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1173.92</v>
      </c>
      <c r="AP67" s="94">
        <f ca="1">(1+race_food_consumption)*TblPop[[#This Row],[Total]]*food_per_person*(1+tech_1_10*TblTech[[#This Row],[1-10]]+tech_7_5*TblTech[[#This Row],[7-5]] + IF(TblMagic[[#This Row],[Active Infernal Command]]&gt;0,demonic_pact_food_cons,0))</f>
        <v>269</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46104.374999999847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156179</v>
      </c>
      <c r="BJ67" s="94">
        <f ca="1">TblProd[[#This Row],[Food]]</f>
        <v>117392</v>
      </c>
      <c r="BK67" s="94">
        <f ca="1">TblProd[[#This Row],[Lumber]]</f>
        <v>54871</v>
      </c>
      <c r="BL67" s="94">
        <f ca="1">TblProd[[#This Row],[Mana]]</f>
        <v>0</v>
      </c>
      <c r="BM67" s="94">
        <f ca="1">TblProd[[#This Row],[Ore]]</f>
        <v>0</v>
      </c>
    </row>
    <row r="68" spans="1:65" x14ac:dyDescent="0.2">
      <c r="A68" s="137">
        <f t="shared" si="0"/>
        <v>29</v>
      </c>
      <c r="B68" s="152">
        <f ca="1">TblImps[[#This Row],[Time]]</f>
        <v>46104.416666666511</v>
      </c>
      <c r="C68" s="153"/>
      <c r="D68" s="154"/>
      <c r="E68" s="94">
        <f ca="1">TblConstr[[#This Row],[Land]]</f>
        <v>110</v>
      </c>
      <c r="F68" s="94">
        <f ca="1">TblPop[[#This Row],[Peasants]]</f>
        <v>527</v>
      </c>
      <c r="G68" s="94">
        <f ca="1">TblMili[[#This Row],[Networth (2)]]</f>
        <v>2450</v>
      </c>
      <c r="H68" s="94">
        <f ca="1">OFFSET(TblProd[[#This Row],[Platinum]],-1,0)+OFFSET(TblProd[[#This Row],[Plat/hr]],-1,0) - TblProd[[#This Row],[Expenses Platinum]] + IF(TblProd[[#This Row],[Plat Bonus]],TblPop[[#This Row],[Peasants]]*4) + SUM(TblConstr[[#This Row],[Dest Hom]:[Dest Doc]])*TblConstr[[#This Row],[CPA Platinum -DB]]*tech_3_3_2*TblTech[[#This Row],[3-3]]</f>
        <v>157615</v>
      </c>
      <c r="I68" s="94">
        <f ca="1">OFFSET(TblProd[[#This Row],[Food]],-1,0)+OFFSET(TblProd[[#This Row],[Food/hr]],-1,0)+ROUNDUP((TblConstr[[#This Row],[Farms]]*80+TblConstr[[#This Row],[Docks]]*35)*(1+OFFSET(TblProd[[#This Row],[Bonus Food/hr]],-1,0)),0)</f>
        <v>118529</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1422</v>
      </c>
      <c r="T68" s="94">
        <f ca="1">ROUND(TblProd[[#This Row],[Raw Food/hr]]*(1+TblProd[[#This Row],[Bonus Food/hr]])-TblProd[[#This Row],[Food decay]]-TblProd[[#This Row],[Food eaten]],0)</f>
        <v>1126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1422.9</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1185.29</v>
      </c>
      <c r="AP68" s="94">
        <f ca="1">(1+race_food_consumption)*TblPop[[#This Row],[Total]]*food_per_person*(1+tech_1_10*TblTech[[#This Row],[1-10]]+tech_7_5*TblTech[[#This Row],[7-5]] + IF(TblMagic[[#This Row],[Active Infernal Command]]&gt;0,demonic_pact_food_cons,0))</f>
        <v>269</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46104.416666666511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157615</v>
      </c>
      <c r="BJ68" s="94">
        <f ca="1">TblProd[[#This Row],[Food]]</f>
        <v>118529</v>
      </c>
      <c r="BK68" s="94">
        <f ca="1">TblProd[[#This Row],[Lumber]]</f>
        <v>55322</v>
      </c>
      <c r="BL68" s="94">
        <f ca="1">TblProd[[#This Row],[Mana]]</f>
        <v>0</v>
      </c>
      <c r="BM68" s="94">
        <f ca="1">TblProd[[#This Row],[Ore]]</f>
        <v>0</v>
      </c>
    </row>
    <row r="69" spans="1:65" x14ac:dyDescent="0.2">
      <c r="A69" s="137">
        <f t="shared" si="0"/>
        <v>30</v>
      </c>
      <c r="B69" s="152">
        <f ca="1">TblImps[[#This Row],[Time]]</f>
        <v>46104.458333333176</v>
      </c>
      <c r="C69" s="153"/>
      <c r="D69" s="154"/>
      <c r="E69" s="94">
        <f ca="1">TblConstr[[#This Row],[Land]]</f>
        <v>110</v>
      </c>
      <c r="F69" s="94">
        <f ca="1">TblPop[[#This Row],[Peasants]]</f>
        <v>522</v>
      </c>
      <c r="G69" s="94">
        <f ca="1">TblMili[[#This Row],[Networth (2)]]</f>
        <v>2450</v>
      </c>
      <c r="H69" s="94">
        <f ca="1">OFFSET(TblProd[[#This Row],[Platinum]],-1,0)+OFFSET(TblProd[[#This Row],[Plat/hr]],-1,0) - TblProd[[#This Row],[Expenses Platinum]] + IF(TblProd[[#This Row],[Plat Bonus]],TblPop[[#This Row],[Peasants]]*4) + SUM(TblConstr[[#This Row],[Dest Hom]:[Dest Doc]])*TblConstr[[#This Row],[CPA Platinum -DB]]*tech_3_3_2*TblTech[[#This Row],[3-3]]</f>
        <v>159037</v>
      </c>
      <c r="I69" s="94">
        <f ca="1">OFFSET(TblProd[[#This Row],[Food]],-1,0)+OFFSET(TblProd[[#This Row],[Food/hr]],-1,0)+ROUNDUP((TblConstr[[#This Row],[Farms]]*80+TblConstr[[#This Row],[Docks]]*35)*(1+OFFSET(TblProd[[#This Row],[Bonus Food/hr]],-1,0)),0)</f>
        <v>119655</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1409</v>
      </c>
      <c r="T69" s="94">
        <f ca="1">ROUND(TblProd[[#This Row],[Raw Food/hr]]*(1+TblProd[[#This Row],[Bonus Food/hr]])-TblProd[[#This Row],[Food decay]]-TblProd[[#This Row],[Food eaten]],0)</f>
        <v>1114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1409.4</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1196.55</v>
      </c>
      <c r="AP69" s="94">
        <f ca="1">(1+race_food_consumption)*TblPop[[#This Row],[Total]]*food_per_person*(1+tech_1_10*TblTech[[#This Row],[1-10]]+tech_7_5*TblTech[[#This Row],[7-5]] + IF(TblMagic[[#This Row],[Active Infernal Command]]&gt;0,demonic_pact_food_cons,0))</f>
        <v>269</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46104.458333333176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159037</v>
      </c>
      <c r="BJ69" s="94">
        <f ca="1">TblProd[[#This Row],[Food]]</f>
        <v>119655</v>
      </c>
      <c r="BK69" s="94">
        <f ca="1">TblProd[[#This Row],[Lumber]]</f>
        <v>55769</v>
      </c>
      <c r="BL69" s="94">
        <f ca="1">TblProd[[#This Row],[Mana]]</f>
        <v>0</v>
      </c>
      <c r="BM69" s="94">
        <f ca="1">TblProd[[#This Row],[Ore]]</f>
        <v>0</v>
      </c>
    </row>
    <row r="70" spans="1:65" x14ac:dyDescent="0.2">
      <c r="A70" s="137">
        <f t="shared" si="0"/>
        <v>31</v>
      </c>
      <c r="B70" s="152">
        <f ca="1">TblImps[[#This Row],[Time]]</f>
        <v>46104.49999999984</v>
      </c>
      <c r="C70" s="153"/>
      <c r="D70" s="154"/>
      <c r="E70" s="94">
        <f ca="1">TblConstr[[#This Row],[Land]]</f>
        <v>110</v>
      </c>
      <c r="F70" s="94">
        <f ca="1">TblPop[[#This Row],[Peasants]]</f>
        <v>517</v>
      </c>
      <c r="G70" s="94">
        <f ca="1">TblMili[[#This Row],[Networth (2)]]</f>
        <v>2450</v>
      </c>
      <c r="H70" s="94">
        <f ca="1">OFFSET(TblProd[[#This Row],[Platinum]],-1,0)+OFFSET(TblProd[[#This Row],[Plat/hr]],-1,0) - TblProd[[#This Row],[Expenses Platinum]] + IF(TblProd[[#This Row],[Plat Bonus]],TblPop[[#This Row],[Peasants]]*4) + SUM(TblConstr[[#This Row],[Dest Hom]:[Dest Doc]])*TblConstr[[#This Row],[CPA Platinum -DB]]*tech_3_3_2*TblTech[[#This Row],[3-3]]</f>
        <v>160446</v>
      </c>
      <c r="I70" s="94">
        <f ca="1">OFFSET(TblProd[[#This Row],[Food]],-1,0)+OFFSET(TblProd[[#This Row],[Food/hr]],-1,0)+ROUNDUP((TblConstr[[#This Row],[Farms]]*80+TblConstr[[#This Row],[Docks]]*35)*(1+OFFSET(TblProd[[#This Row],[Bonus Food/hr]],-1,0)),0)</f>
        <v>120769</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1395</v>
      </c>
      <c r="T70" s="94">
        <f ca="1">ROUND(TblProd[[#This Row],[Raw Food/hr]]*(1+TblProd[[#This Row],[Bonus Food/hr]])-TblProd[[#This Row],[Food decay]]-TblProd[[#This Row],[Food eaten]],0)</f>
        <v>1103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1395.9</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1207.69</v>
      </c>
      <c r="AP70" s="94">
        <f ca="1">(1+race_food_consumption)*TblPop[[#This Row],[Total]]*food_per_person*(1+tech_1_10*TblTech[[#This Row],[1-10]]+tech_7_5*TblTech[[#This Row],[7-5]] + IF(TblMagic[[#This Row],[Active Infernal Command]]&gt;0,demonic_pact_food_cons,0))</f>
        <v>269</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46104.49999999984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160446</v>
      </c>
      <c r="BJ70" s="94">
        <f ca="1">TblProd[[#This Row],[Food]]</f>
        <v>120769</v>
      </c>
      <c r="BK70" s="94">
        <f ca="1">TblProd[[#This Row],[Lumber]]</f>
        <v>56211</v>
      </c>
      <c r="BL70" s="94">
        <f ca="1">TblProd[[#This Row],[Mana]]</f>
        <v>0</v>
      </c>
      <c r="BM70" s="94">
        <f ca="1">TblProd[[#This Row],[Ore]]</f>
        <v>0</v>
      </c>
    </row>
    <row r="71" spans="1:65" x14ac:dyDescent="0.2">
      <c r="A71" s="137">
        <f t="shared" si="0"/>
        <v>32</v>
      </c>
      <c r="B71" s="152">
        <f ca="1">TblImps[[#This Row],[Time]]</f>
        <v>46104.541666666504</v>
      </c>
      <c r="C71" s="153"/>
      <c r="D71" s="154"/>
      <c r="E71" s="94">
        <f ca="1">TblConstr[[#This Row],[Land]]</f>
        <v>110</v>
      </c>
      <c r="F71" s="94">
        <f ca="1">TblPop[[#This Row],[Peasants]]</f>
        <v>512</v>
      </c>
      <c r="G71" s="94">
        <f ca="1">TblMili[[#This Row],[Networth (2)]]</f>
        <v>2450</v>
      </c>
      <c r="H71" s="94">
        <f ca="1">OFFSET(TblProd[[#This Row],[Platinum]],-1,0)+OFFSET(TblProd[[#This Row],[Plat/hr]],-1,0) - TblProd[[#This Row],[Expenses Platinum]] + IF(TblProd[[#This Row],[Plat Bonus]],TblPop[[#This Row],[Peasants]]*4) + SUM(TblConstr[[#This Row],[Dest Hom]:[Dest Doc]])*TblConstr[[#This Row],[CPA Platinum -DB]]*tech_3_3_2*TblTech[[#This Row],[3-3]]</f>
        <v>161841</v>
      </c>
      <c r="I71" s="94">
        <f ca="1">OFFSET(TblProd[[#This Row],[Food]],-1,0)+OFFSET(TblProd[[#This Row],[Food/hr]],-1,0)+ROUNDUP((TblConstr[[#This Row],[Farms]]*80+TblConstr[[#This Row],[Docks]]*35)*(1+OFFSET(TblProd[[#This Row],[Bonus Food/hr]],-1,0)),0)</f>
        <v>121872</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1382</v>
      </c>
      <c r="T71" s="94">
        <f ca="1">ROUND(TblProd[[#This Row],[Raw Food/hr]]*(1+TblProd[[#This Row],[Bonus Food/hr]])-TblProd[[#This Row],[Food decay]]-TblProd[[#This Row],[Food eaten]],0)</f>
        <v>1092</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1382.4</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1218.72</v>
      </c>
      <c r="AP71" s="94">
        <f ca="1">(1+race_food_consumption)*TblPop[[#This Row],[Total]]*food_per_person*(1+tech_1_10*TblTech[[#This Row],[1-10]]+tech_7_5*TblTech[[#This Row],[7-5]] + IF(TblMagic[[#This Row],[Active Infernal Command]]&gt;0,demonic_pact_food_cons,0))</f>
        <v>269</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46104.541666666504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161841</v>
      </c>
      <c r="BJ71" s="94">
        <f ca="1">TblProd[[#This Row],[Food]]</f>
        <v>121872</v>
      </c>
      <c r="BK71" s="94">
        <f ca="1">TblProd[[#This Row],[Lumber]]</f>
        <v>56649</v>
      </c>
      <c r="BL71" s="94">
        <f ca="1">TblProd[[#This Row],[Mana]]</f>
        <v>0</v>
      </c>
      <c r="BM71" s="94">
        <f ca="1">TblProd[[#This Row],[Ore]]</f>
        <v>0</v>
      </c>
    </row>
    <row r="72" spans="1:65" x14ac:dyDescent="0.2">
      <c r="A72" s="137">
        <f t="shared" si="0"/>
        <v>33</v>
      </c>
      <c r="B72" s="152">
        <f ca="1">TblImps[[#This Row],[Time]]</f>
        <v>46104.583333333168</v>
      </c>
      <c r="C72" s="153"/>
      <c r="D72" s="154"/>
      <c r="E72" s="94">
        <f ca="1">TblConstr[[#This Row],[Land]]</f>
        <v>110</v>
      </c>
      <c r="F72" s="94">
        <f ca="1">TblPop[[#This Row],[Peasants]]</f>
        <v>507</v>
      </c>
      <c r="G72" s="94">
        <f ca="1">TblMili[[#This Row],[Networth (2)]]</f>
        <v>2450</v>
      </c>
      <c r="H72" s="94">
        <f ca="1">OFFSET(TblProd[[#This Row],[Platinum]],-1,0)+OFFSET(TblProd[[#This Row],[Plat/hr]],-1,0) - TblProd[[#This Row],[Expenses Platinum]] + IF(TblProd[[#This Row],[Plat Bonus]],TblPop[[#This Row],[Peasants]]*4) + SUM(TblConstr[[#This Row],[Dest Hom]:[Dest Doc]])*TblConstr[[#This Row],[CPA Platinum -DB]]*tech_3_3_2*TblTech[[#This Row],[3-3]]</f>
        <v>163223</v>
      </c>
      <c r="I72" s="94">
        <f ca="1">OFFSET(TblProd[[#This Row],[Food]],-1,0)+OFFSET(TblProd[[#This Row],[Food/hr]],-1,0)+ROUNDUP((TblConstr[[#This Row],[Farms]]*80+TblConstr[[#This Row],[Docks]]*35)*(1+OFFSET(TblProd[[#This Row],[Bonus Food/hr]],-1,0)),0)</f>
        <v>122964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1368</v>
      </c>
      <c r="T72" s="94">
        <f ca="1">ROUND(TblProd[[#This Row],[Raw Food/hr]]*(1+TblProd[[#This Row],[Bonus Food/hr]])-TblProd[[#This Row],[Food decay]]-TblProd[[#This Row],[Food eaten]],0)</f>
        <v>1081</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1368.9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1229.6400000000001</v>
      </c>
      <c r="AP72" s="94">
        <f ca="1">(1+race_food_consumption)*TblPop[[#This Row],[Total]]*food_per_person*(1+tech_1_10*TblTech[[#This Row],[1-10]]+tech_7_5*TblTech[[#This Row],[7-5]] + IF(TblMagic[[#This Row],[Active Infernal Command]]&gt;0,demonic_pact_food_cons,0))</f>
        <v>269</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46104.583333333168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163223</v>
      </c>
      <c r="BJ72" s="94">
        <f ca="1">TblProd[[#This Row],[Food]]</f>
        <v>122964</v>
      </c>
      <c r="BK72" s="94">
        <f ca="1">TblProd[[#This Row],[Lumber]]</f>
        <v>57083</v>
      </c>
      <c r="BL72" s="94">
        <f ca="1">TblProd[[#This Row],[Mana]]</f>
        <v>0</v>
      </c>
      <c r="BM72" s="94">
        <f ca="1">TblProd[[#This Row],[Ore]]</f>
        <v>0</v>
      </c>
    </row>
    <row r="73" spans="1:65" x14ac:dyDescent="0.2">
      <c r="A73" s="137">
        <f t="shared" si="0"/>
        <v>34</v>
      </c>
      <c r="B73" s="152">
        <f ca="1">TblImps[[#This Row],[Time]]</f>
        <v>46104.624999999833</v>
      </c>
      <c r="C73" s="153"/>
      <c r="D73" s="154"/>
      <c r="E73" s="94">
        <f ca="1">TblConstr[[#This Row],[Land]]</f>
        <v>110</v>
      </c>
      <c r="F73" s="94">
        <f ca="1">TblPop[[#This Row],[Peasants]]</f>
        <v>502</v>
      </c>
      <c r="G73" s="94">
        <f ca="1">TblMili[[#This Row],[Networth (2)]]</f>
        <v>2450</v>
      </c>
      <c r="H73" s="94">
        <f ca="1">OFFSET(TblProd[[#This Row],[Platinum]],-1,0)+OFFSET(TblProd[[#This Row],[Plat/hr]],-1,0) - TblProd[[#This Row],[Expenses Platinum]] + IF(TblProd[[#This Row],[Plat Bonus]],TblPop[[#This Row],[Peasants]]*4) + SUM(TblConstr[[#This Row],[Dest Hom]:[Dest Doc]])*TblConstr[[#This Row],[CPA Platinum -DB]]*tech_3_3_2*TblTech[[#This Row],[3-3]]</f>
        <v>164591</v>
      </c>
      <c r="I73" s="94">
        <f ca="1">OFFSET(TblProd[[#This Row],[Food]],-1,0)+OFFSET(TblProd[[#This Row],[Food/hr]],-1,0)+ROUNDUP((TblConstr[[#This Row],[Farms]]*80+TblConstr[[#This Row],[Docks]]*35)*(1+OFFSET(TblProd[[#This Row],[Bonus Food/hr]],-1,0)),0)</f>
        <v>124045</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1355</v>
      </c>
      <c r="T73" s="94">
        <f ca="1">ROUND(TblProd[[#This Row],[Raw Food/hr]]*(1+TblProd[[#This Row],[Bonus Food/hr]])-TblProd[[#This Row],[Food decay]]-TblProd[[#This Row],[Food eaten]],0)</f>
        <v>1071</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1355.4</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1240.45</v>
      </c>
      <c r="AP73" s="94">
        <f ca="1">(1+race_food_consumption)*TblPop[[#This Row],[Total]]*food_per_person*(1+tech_1_10*TblTech[[#This Row],[1-10]]+tech_7_5*TblTech[[#This Row],[7-5]] + IF(TblMagic[[#This Row],[Active Infernal Command]]&gt;0,demonic_pact_food_cons,0))</f>
        <v>269</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46104.624999999833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164591</v>
      </c>
      <c r="BJ73" s="94">
        <f ca="1">TblProd[[#This Row],[Food]]</f>
        <v>124045</v>
      </c>
      <c r="BK73" s="94">
        <f ca="1">TblProd[[#This Row],[Lumber]]</f>
        <v>57512</v>
      </c>
      <c r="BL73" s="94">
        <f ca="1">TblProd[[#This Row],[Mana]]</f>
        <v>0</v>
      </c>
      <c r="BM73" s="94">
        <f ca="1">TblProd[[#This Row],[Ore]]</f>
        <v>0</v>
      </c>
    </row>
    <row r="74" spans="1:65" x14ac:dyDescent="0.2">
      <c r="A74" s="137">
        <f t="shared" si="0"/>
        <v>35</v>
      </c>
      <c r="B74" s="152">
        <f ca="1">TblImps[[#This Row],[Time]]</f>
        <v>46104.666666666497</v>
      </c>
      <c r="C74" s="153"/>
      <c r="D74" s="154"/>
      <c r="E74" s="94">
        <f ca="1">TblConstr[[#This Row],[Land]]</f>
        <v>110</v>
      </c>
      <c r="F74" s="94">
        <f ca="1">TblPop[[#This Row],[Peasants]]</f>
        <v>497</v>
      </c>
      <c r="G74" s="94">
        <f ca="1">TblMili[[#This Row],[Networth (2)]]</f>
        <v>2450</v>
      </c>
      <c r="H74" s="94">
        <f ca="1">OFFSET(TblProd[[#This Row],[Platinum]],-1,0)+OFFSET(TblProd[[#This Row],[Plat/hr]],-1,0) - TblProd[[#This Row],[Expenses Platinum]] + IF(TblProd[[#This Row],[Plat Bonus]],TblPop[[#This Row],[Peasants]]*4) + SUM(TblConstr[[#This Row],[Dest Hom]:[Dest Doc]])*TblConstr[[#This Row],[CPA Platinum -DB]]*tech_3_3_2*TblTech[[#This Row],[3-3]]</f>
        <v>165946</v>
      </c>
      <c r="I74" s="94">
        <f ca="1">OFFSET(TblProd[[#This Row],[Food]],-1,0)+OFFSET(TblProd[[#This Row],[Food/hr]],-1,0)+ROUNDUP((TblConstr[[#This Row],[Farms]]*80+TblConstr[[#This Row],[Docks]]*35)*(1+OFFSET(TblProd[[#This Row],[Bonus Food/hr]],-1,0)),0)</f>
        <v>125116</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1341</v>
      </c>
      <c r="T74" s="94">
        <f ca="1">ROUND(TblProd[[#This Row],[Raw Food/hr]]*(1+TblProd[[#This Row],[Bonus Food/hr]])-TblProd[[#This Row],[Food decay]]-TblProd[[#This Row],[Food eaten]],0)</f>
        <v>1060</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1341.9</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1251.1600000000001</v>
      </c>
      <c r="AP74" s="94">
        <f ca="1">(1+race_food_consumption)*TblPop[[#This Row],[Total]]*food_per_person*(1+tech_1_10*TblTech[[#This Row],[1-10]]+tech_7_5*TblTech[[#This Row],[7-5]] + IF(TblMagic[[#This Row],[Active Infernal Command]]&gt;0,demonic_pact_food_cons,0))</f>
        <v>269</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46104.666666666497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165946</v>
      </c>
      <c r="BJ74" s="94">
        <f ca="1">TblProd[[#This Row],[Food]]</f>
        <v>125116</v>
      </c>
      <c r="BK74" s="94">
        <f ca="1">TblProd[[#This Row],[Lumber]]</f>
        <v>57937</v>
      </c>
      <c r="BL74" s="94">
        <f ca="1">TblProd[[#This Row],[Mana]]</f>
        <v>0</v>
      </c>
      <c r="BM74" s="94">
        <f ca="1">TblProd[[#This Row],[Ore]]</f>
        <v>0</v>
      </c>
    </row>
    <row r="75" spans="1:65" x14ac:dyDescent="0.2">
      <c r="A75" s="137">
        <f t="shared" si="0"/>
        <v>36</v>
      </c>
      <c r="B75" s="152">
        <f ca="1">TblImps[[#This Row],[Time]]</f>
        <v>46104.708333333161</v>
      </c>
      <c r="C75" s="153"/>
      <c r="D75" s="154"/>
      <c r="E75" s="94">
        <f ca="1">TblConstr[[#This Row],[Land]]</f>
        <v>110</v>
      </c>
      <c r="F75" s="94">
        <f ca="1">TblPop[[#This Row],[Peasants]]</f>
        <v>492</v>
      </c>
      <c r="G75" s="94">
        <f ca="1">TblMili[[#This Row],[Networth (2)]]</f>
        <v>2450</v>
      </c>
      <c r="H75" s="94">
        <f ca="1">OFFSET(TblProd[[#This Row],[Platinum]],-1,0)+OFFSET(TblProd[[#This Row],[Plat/hr]],-1,0) - TblProd[[#This Row],[Expenses Platinum]] + IF(TblProd[[#This Row],[Plat Bonus]],TblPop[[#This Row],[Peasants]]*4) + SUM(TblConstr[[#This Row],[Dest Hom]:[Dest Doc]])*TblConstr[[#This Row],[CPA Platinum -DB]]*tech_3_3_2*TblTech[[#This Row],[3-3]]</f>
        <v>167287</v>
      </c>
      <c r="I75" s="94">
        <f ca="1">OFFSET(TblProd[[#This Row],[Food]],-1,0)+OFFSET(TblProd[[#This Row],[Food/hr]],-1,0)+ROUNDUP((TblConstr[[#This Row],[Farms]]*80+TblConstr[[#This Row],[Docks]]*35)*(1+OFFSET(TblProd[[#This Row],[Bonus Food/hr]],-1,0)),0)</f>
        <v>126176</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1328</v>
      </c>
      <c r="T75" s="94">
        <f ca="1">ROUND(TblProd[[#This Row],[Raw Food/hr]]*(1+TblProd[[#This Row],[Bonus Food/hr]])-TblProd[[#This Row],[Food decay]]-TblProd[[#This Row],[Food eaten]],0)</f>
        <v>1049</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1328.4</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1261.76</v>
      </c>
      <c r="AP75" s="94">
        <f ca="1">(1+race_food_consumption)*TblPop[[#This Row],[Total]]*food_per_person*(1+tech_1_10*TblTech[[#This Row],[1-10]]+tech_7_5*TblTech[[#This Row],[7-5]] + IF(TblMagic[[#This Row],[Active Infernal Command]]&gt;0,demonic_pact_food_cons,0))</f>
        <v>269</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46104.708333333161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167287</v>
      </c>
      <c r="BJ75" s="94">
        <f ca="1">TblProd[[#This Row],[Food]]</f>
        <v>126176</v>
      </c>
      <c r="BK75" s="94">
        <f ca="1">TblProd[[#This Row],[Lumber]]</f>
        <v>58358</v>
      </c>
      <c r="BL75" s="94">
        <f ca="1">TblProd[[#This Row],[Mana]]</f>
        <v>0</v>
      </c>
      <c r="BM75" s="94">
        <f ca="1">TblProd[[#This Row],[Ore]]</f>
        <v>0</v>
      </c>
    </row>
    <row r="76" spans="1:65" x14ac:dyDescent="0.2">
      <c r="A76" s="137">
        <f t="shared" si="0"/>
        <v>37</v>
      </c>
      <c r="B76" s="152">
        <f ca="1">TblImps[[#This Row],[Time]]</f>
        <v>46104.749999999825</v>
      </c>
      <c r="C76" s="153"/>
      <c r="D76" s="154"/>
      <c r="E76" s="94">
        <f ca="1">TblConstr[[#This Row],[Land]]</f>
        <v>110</v>
      </c>
      <c r="F76" s="94">
        <f ca="1">TblPop[[#This Row],[Peasants]]</f>
        <v>487</v>
      </c>
      <c r="G76" s="94">
        <f ca="1">TblMili[[#This Row],[Networth (2)]]</f>
        <v>2450</v>
      </c>
      <c r="H76" s="94">
        <f ca="1">OFFSET(TblProd[[#This Row],[Platinum]],-1,0)+OFFSET(TblProd[[#This Row],[Plat/hr]],-1,0) - TblProd[[#This Row],[Expenses Platinum]] + IF(TblProd[[#This Row],[Plat Bonus]],TblPop[[#This Row],[Peasants]]*4) + SUM(TblConstr[[#This Row],[Dest Hom]:[Dest Doc]])*TblConstr[[#This Row],[CPA Platinum -DB]]*tech_3_3_2*TblTech[[#This Row],[3-3]]</f>
        <v>168615</v>
      </c>
      <c r="I76" s="94">
        <f ca="1">OFFSET(TblProd[[#This Row],[Food]],-1,0)+OFFSET(TblProd[[#This Row],[Food/hr]],-1,0)+ROUNDUP((TblConstr[[#This Row],[Farms]]*80+TblConstr[[#This Row],[Docks]]*35)*(1+OFFSET(TblProd[[#This Row],[Bonus Food/hr]],-1,0)),0)</f>
        <v>127225</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1314</v>
      </c>
      <c r="T76" s="94">
        <f ca="1">ROUND(TblProd[[#This Row],[Raw Food/hr]]*(1+TblProd[[#This Row],[Bonus Food/hr]])-TblProd[[#This Row],[Food decay]]-TblProd[[#This Row],[Food eaten]],0)</f>
        <v>1039</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1314.9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1272.25</v>
      </c>
      <c r="AP76" s="94">
        <f ca="1">(1+race_food_consumption)*TblPop[[#This Row],[Total]]*food_per_person*(1+tech_1_10*TblTech[[#This Row],[1-10]]+tech_7_5*TblTech[[#This Row],[7-5]] + IF(TblMagic[[#This Row],[Active Infernal Command]]&gt;0,demonic_pact_food_cons,0))</f>
        <v>269</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46104.749999999825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168615</v>
      </c>
      <c r="BJ76" s="94">
        <f ca="1">TblProd[[#This Row],[Food]]</f>
        <v>127225</v>
      </c>
      <c r="BK76" s="94">
        <f ca="1">TblProd[[#This Row],[Lumber]]</f>
        <v>58774</v>
      </c>
      <c r="BL76" s="94">
        <f ca="1">TblProd[[#This Row],[Mana]]</f>
        <v>0</v>
      </c>
      <c r="BM76" s="94">
        <f ca="1">TblProd[[#This Row],[Ore]]</f>
        <v>0</v>
      </c>
    </row>
    <row r="77" spans="1:65" x14ac:dyDescent="0.2">
      <c r="A77" s="137">
        <f t="shared" si="0"/>
        <v>38</v>
      </c>
      <c r="B77" s="152">
        <f ca="1">TblImps[[#This Row],[Time]]</f>
        <v>46104.79166666649</v>
      </c>
      <c r="C77" s="153"/>
      <c r="D77" s="154"/>
      <c r="E77" s="94">
        <f ca="1">TblConstr[[#This Row],[Land]]</f>
        <v>110</v>
      </c>
      <c r="F77" s="94">
        <f ca="1">TblPop[[#This Row],[Peasants]]</f>
        <v>482</v>
      </c>
      <c r="G77" s="94">
        <f ca="1">TblMili[[#This Row],[Networth (2)]]</f>
        <v>2450</v>
      </c>
      <c r="H77" s="94">
        <f ca="1">OFFSET(TblProd[[#This Row],[Platinum]],-1,0)+OFFSET(TblProd[[#This Row],[Plat/hr]],-1,0) - TblProd[[#This Row],[Expenses Platinum]] + IF(TblProd[[#This Row],[Plat Bonus]],TblPop[[#This Row],[Peasants]]*4) + SUM(TblConstr[[#This Row],[Dest Hom]:[Dest Doc]])*TblConstr[[#This Row],[CPA Platinum -DB]]*tech_3_3_2*TblTech[[#This Row],[3-3]]</f>
        <v>169929</v>
      </c>
      <c r="I77" s="94">
        <f ca="1">OFFSET(TblProd[[#This Row],[Food]],-1,0)+OFFSET(TblProd[[#This Row],[Food/hr]],-1,0)+ROUNDUP((TblConstr[[#This Row],[Farms]]*80+TblConstr[[#This Row],[Docks]]*35)*(1+OFFSET(TblProd[[#This Row],[Bonus Food/hr]],-1,0)),0)</f>
        <v>128264</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1301</v>
      </c>
      <c r="T77" s="94">
        <f ca="1">ROUND(TblProd[[#This Row],[Raw Food/hr]]*(1+TblProd[[#This Row],[Bonus Food/hr]])-TblProd[[#This Row],[Food decay]]-TblProd[[#This Row],[Food eaten]],0)</f>
        <v>1028</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1301.4000000000001</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1282.6400000000001</v>
      </c>
      <c r="AP77" s="94">
        <f ca="1">(1+race_food_consumption)*TblPop[[#This Row],[Total]]*food_per_person*(1+tech_1_10*TblTech[[#This Row],[1-10]]+tech_7_5*TblTech[[#This Row],[7-5]] + IF(TblMagic[[#This Row],[Active Infernal Command]]&gt;0,demonic_pact_food_cons,0))</f>
        <v>269</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46104.79166666649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169929</v>
      </c>
      <c r="BJ77" s="94">
        <f ca="1">TblProd[[#This Row],[Food]]</f>
        <v>128264</v>
      </c>
      <c r="BK77" s="94">
        <f ca="1">TblProd[[#This Row],[Lumber]]</f>
        <v>59186</v>
      </c>
      <c r="BL77" s="94">
        <f ca="1">TblProd[[#This Row],[Mana]]</f>
        <v>0</v>
      </c>
      <c r="BM77" s="94">
        <f ca="1">TblProd[[#This Row],[Ore]]</f>
        <v>0</v>
      </c>
    </row>
    <row r="78" spans="1:65" x14ac:dyDescent="0.2">
      <c r="A78" s="137">
        <f t="shared" si="0"/>
        <v>39</v>
      </c>
      <c r="B78" s="152">
        <f ca="1">TblImps[[#This Row],[Time]]</f>
        <v>46104.833333333154</v>
      </c>
      <c r="C78" s="153"/>
      <c r="D78" s="154"/>
      <c r="E78" s="94">
        <f ca="1">TblConstr[[#This Row],[Land]]</f>
        <v>110</v>
      </c>
      <c r="F78" s="94">
        <f ca="1">TblPop[[#This Row],[Peasants]]</f>
        <v>477</v>
      </c>
      <c r="G78" s="94">
        <f ca="1">TblMili[[#This Row],[Networth (2)]]</f>
        <v>2450</v>
      </c>
      <c r="H78" s="94">
        <f ca="1">OFFSET(TblProd[[#This Row],[Platinum]],-1,0)+OFFSET(TblProd[[#This Row],[Plat/hr]],-1,0) - TblProd[[#This Row],[Expenses Platinum]] + IF(TblProd[[#This Row],[Plat Bonus]],TblPop[[#This Row],[Peasants]]*4) + SUM(TblConstr[[#This Row],[Dest Hom]:[Dest Doc]])*TblConstr[[#This Row],[CPA Platinum -DB]]*tech_3_3_2*TblTech[[#This Row],[3-3]]</f>
        <v>171230</v>
      </c>
      <c r="I78" s="94">
        <f ca="1">OFFSET(TblProd[[#This Row],[Food]],-1,0)+OFFSET(TblProd[[#This Row],[Food/hr]],-1,0)+ROUNDUP((TblConstr[[#This Row],[Farms]]*80+TblConstr[[#This Row],[Docks]]*35)*(1+OFFSET(TblProd[[#This Row],[Bonus Food/hr]],-1,0)),0)</f>
        <v>129292</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1287</v>
      </c>
      <c r="T78" s="94">
        <f ca="1">ROUND(TblProd[[#This Row],[Raw Food/hr]]*(1+TblProd[[#This Row],[Bonus Food/hr]])-TblProd[[#This Row],[Food decay]]-TblProd[[#This Row],[Food eaten]],0)</f>
        <v>1018</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1287.9000000000001</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1292.92</v>
      </c>
      <c r="AP78" s="94">
        <f ca="1">(1+race_food_consumption)*TblPop[[#This Row],[Total]]*food_per_person*(1+tech_1_10*TblTech[[#This Row],[1-10]]+tech_7_5*TblTech[[#This Row],[7-5]] + IF(TblMagic[[#This Row],[Active Infernal Command]]&gt;0,demonic_pact_food_cons,0))</f>
        <v>269</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46104.833333333154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171230</v>
      </c>
      <c r="BJ78" s="94">
        <f ca="1">TblProd[[#This Row],[Food]]</f>
        <v>129292</v>
      </c>
      <c r="BK78" s="94">
        <f ca="1">TblProd[[#This Row],[Lumber]]</f>
        <v>59594</v>
      </c>
      <c r="BL78" s="94">
        <f ca="1">TblProd[[#This Row],[Mana]]</f>
        <v>0</v>
      </c>
      <c r="BM78" s="94">
        <f ca="1">TblProd[[#This Row],[Ore]]</f>
        <v>0</v>
      </c>
    </row>
    <row r="79" spans="1:65" x14ac:dyDescent="0.2">
      <c r="A79" s="137">
        <f t="shared" si="0"/>
        <v>40</v>
      </c>
      <c r="B79" s="152">
        <f ca="1">TblImps[[#This Row],[Time]]</f>
        <v>46104.874999999818</v>
      </c>
      <c r="C79" s="153"/>
      <c r="D79" s="154"/>
      <c r="E79" s="94">
        <f ca="1">TblConstr[[#This Row],[Land]]</f>
        <v>110</v>
      </c>
      <c r="F79" s="94">
        <f ca="1">TblPop[[#This Row],[Peasants]]</f>
        <v>472</v>
      </c>
      <c r="G79" s="94">
        <f ca="1">TblMili[[#This Row],[Networth (2)]]</f>
        <v>2450</v>
      </c>
      <c r="H79" s="94">
        <f ca="1">OFFSET(TblProd[[#This Row],[Platinum]],-1,0)+OFFSET(TblProd[[#This Row],[Plat/hr]],-1,0) - TblProd[[#This Row],[Expenses Platinum]] + IF(TblProd[[#This Row],[Plat Bonus]],TblPop[[#This Row],[Peasants]]*4) + SUM(TblConstr[[#This Row],[Dest Hom]:[Dest Doc]])*TblConstr[[#This Row],[CPA Platinum -DB]]*tech_3_3_2*TblTech[[#This Row],[3-3]]</f>
        <v>172517</v>
      </c>
      <c r="I79" s="94">
        <f ca="1">OFFSET(TblProd[[#This Row],[Food]],-1,0)+OFFSET(TblProd[[#This Row],[Food/hr]],-1,0)+ROUNDUP((TblConstr[[#This Row],[Farms]]*80+TblConstr[[#This Row],[Docks]]*35)*(1+OFFSET(TblProd[[#This Row],[Bonus Food/hr]],-1,0)),0)</f>
        <v>130310</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1274</v>
      </c>
      <c r="T79" s="94">
        <f ca="1">ROUND(TblProd[[#This Row],[Raw Food/hr]]*(1+TblProd[[#This Row],[Bonus Food/hr]])-TblProd[[#This Row],[Food decay]]-TblProd[[#This Row],[Food eaten]],0)</f>
        <v>1008</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1274.4000000000001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1303.1000000000001</v>
      </c>
      <c r="AP79" s="94">
        <f ca="1">(1+race_food_consumption)*TblPop[[#This Row],[Total]]*food_per_person*(1+tech_1_10*TblTech[[#This Row],[1-10]]+tech_7_5*TblTech[[#This Row],[7-5]] + IF(TblMagic[[#This Row],[Active Infernal Command]]&gt;0,demonic_pact_food_cons,0))</f>
        <v>269</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46104.874999999818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172517</v>
      </c>
      <c r="BJ79" s="94">
        <f ca="1">TblProd[[#This Row],[Food]]</f>
        <v>130310</v>
      </c>
      <c r="BK79" s="94">
        <f ca="1">TblProd[[#This Row],[Lumber]]</f>
        <v>59998</v>
      </c>
      <c r="BL79" s="94">
        <f ca="1">TblProd[[#This Row],[Mana]]</f>
        <v>0</v>
      </c>
      <c r="BM79" s="94">
        <f ca="1">TblProd[[#This Row],[Ore]]</f>
        <v>0</v>
      </c>
    </row>
    <row r="80" spans="1:65" x14ac:dyDescent="0.2">
      <c r="A80" s="137">
        <f t="shared" si="0"/>
        <v>41</v>
      </c>
      <c r="B80" s="152">
        <f ca="1">TblImps[[#This Row],[Time]]</f>
        <v>46104.916666666482</v>
      </c>
      <c r="C80" s="153"/>
      <c r="D80" s="154"/>
      <c r="E80" s="94">
        <f ca="1">TblConstr[[#This Row],[Land]]</f>
        <v>110</v>
      </c>
      <c r="F80" s="94">
        <f ca="1">TblPop[[#This Row],[Peasants]]</f>
        <v>467</v>
      </c>
      <c r="G80" s="94">
        <f ca="1">TblMili[[#This Row],[Networth (2)]]</f>
        <v>2450</v>
      </c>
      <c r="H80" s="94">
        <f ca="1">OFFSET(TblProd[[#This Row],[Platinum]],-1,0)+OFFSET(TblProd[[#This Row],[Plat/hr]],-1,0) - TblProd[[#This Row],[Expenses Platinum]] + IF(TblProd[[#This Row],[Plat Bonus]],TblPop[[#This Row],[Peasants]]*4) + SUM(TblConstr[[#This Row],[Dest Hom]:[Dest Doc]])*TblConstr[[#This Row],[CPA Platinum -DB]]*tech_3_3_2*TblTech[[#This Row],[3-3]]</f>
        <v>173791</v>
      </c>
      <c r="I80" s="94">
        <f ca="1">OFFSET(TblProd[[#This Row],[Food]],-1,0)+OFFSET(TblProd[[#This Row],[Food/hr]],-1,0)+ROUNDUP((TblConstr[[#This Row],[Farms]]*80+TblConstr[[#This Row],[Docks]]*35)*(1+OFFSET(TblProd[[#This Row],[Bonus Food/hr]],-1,0)),0)</f>
        <v>131318</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1260</v>
      </c>
      <c r="T80" s="94">
        <f ca="1">ROUND(TblProd[[#This Row],[Raw Food/hr]]*(1+TblProd[[#This Row],[Bonus Food/hr]])-TblProd[[#This Row],[Food decay]]-TblProd[[#This Row],[Food eaten]],0)</f>
        <v>998</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1260.9000000000001</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1313.18</v>
      </c>
      <c r="AP80" s="94">
        <f ca="1">(1+race_food_consumption)*TblPop[[#This Row],[Total]]*food_per_person*(1+tech_1_10*TblTech[[#This Row],[1-10]]+tech_7_5*TblTech[[#This Row],[7-5]] + IF(TblMagic[[#This Row],[Active Infernal Command]]&gt;0,demonic_pact_food_cons,0))</f>
        <v>269</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46104.916666666482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173791</v>
      </c>
      <c r="BJ80" s="94">
        <f ca="1">TblProd[[#This Row],[Food]]</f>
        <v>131318</v>
      </c>
      <c r="BK80" s="94">
        <f ca="1">TblProd[[#This Row],[Lumber]]</f>
        <v>60398</v>
      </c>
      <c r="BL80" s="94">
        <f ca="1">TblProd[[#This Row],[Mana]]</f>
        <v>0</v>
      </c>
      <c r="BM80" s="94">
        <f ca="1">TblProd[[#This Row],[Ore]]</f>
        <v>0</v>
      </c>
    </row>
    <row r="81" spans="1:65" x14ac:dyDescent="0.2">
      <c r="A81" s="137">
        <f t="shared" si="0"/>
        <v>42</v>
      </c>
      <c r="B81" s="152">
        <f ca="1">TblImps[[#This Row],[Time]]</f>
        <v>46104.958333333147</v>
      </c>
      <c r="C81" s="153"/>
      <c r="D81" s="154"/>
      <c r="E81" s="94">
        <f ca="1">TblConstr[[#This Row],[Land]]</f>
        <v>110</v>
      </c>
      <c r="F81" s="94">
        <f ca="1">TblPop[[#This Row],[Peasants]]</f>
        <v>462</v>
      </c>
      <c r="G81" s="94">
        <f ca="1">TblMili[[#This Row],[Networth (2)]]</f>
        <v>2450</v>
      </c>
      <c r="H81" s="94">
        <f ca="1">OFFSET(TblProd[[#This Row],[Platinum]],-1,0)+OFFSET(TblProd[[#This Row],[Plat/hr]],-1,0) - TblProd[[#This Row],[Expenses Platinum]] + IF(TblProd[[#This Row],[Plat Bonus]],TblPop[[#This Row],[Peasants]]*4) + SUM(TblConstr[[#This Row],[Dest Hom]:[Dest Doc]])*TblConstr[[#This Row],[CPA Platinum -DB]]*tech_3_3_2*TblTech[[#This Row],[3-3]]</f>
        <v>175051</v>
      </c>
      <c r="I81" s="94">
        <f ca="1">OFFSET(TblProd[[#This Row],[Food]],-1,0)+OFFSET(TblProd[[#This Row],[Food/hr]],-1,0)+ROUNDUP((TblConstr[[#This Row],[Farms]]*80+TblConstr[[#This Row],[Docks]]*35)*(1+OFFSET(TblProd[[#This Row],[Bonus Food/hr]],-1,0)),0)</f>
        <v>132316</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1247</v>
      </c>
      <c r="T81" s="94">
        <f ca="1">ROUND(TblProd[[#This Row],[Raw Food/hr]]*(1+TblProd[[#This Row],[Bonus Food/hr]])-TblProd[[#This Row],[Food decay]]-TblProd[[#This Row],[Food eaten]],0)</f>
        <v>988</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1247.4000000000001</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1323.16</v>
      </c>
      <c r="AP81" s="94">
        <f ca="1">(1+race_food_consumption)*TblPop[[#This Row],[Total]]*food_per_person*(1+tech_1_10*TblTech[[#This Row],[1-10]]+tech_7_5*TblTech[[#This Row],[7-5]] + IF(TblMagic[[#This Row],[Active Infernal Command]]&gt;0,demonic_pact_food_cons,0))</f>
        <v>269</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46104.958333333147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175051</v>
      </c>
      <c r="BJ81" s="94">
        <f ca="1">TblProd[[#This Row],[Food]]</f>
        <v>132316</v>
      </c>
      <c r="BK81" s="94">
        <f ca="1">TblProd[[#This Row],[Lumber]]</f>
        <v>60794</v>
      </c>
      <c r="BL81" s="94">
        <f ca="1">TblProd[[#This Row],[Mana]]</f>
        <v>0</v>
      </c>
      <c r="BM81" s="94">
        <f ca="1">TblProd[[#This Row],[Ore]]</f>
        <v>0</v>
      </c>
    </row>
    <row r="82" spans="1:65" x14ac:dyDescent="0.2">
      <c r="A82" s="137">
        <f t="shared" si="0"/>
        <v>43</v>
      </c>
      <c r="B82" s="152">
        <f ca="1">TblImps[[#This Row],[Time]]</f>
        <v>46104.999999999811</v>
      </c>
      <c r="C82" s="153"/>
      <c r="D82" s="154"/>
      <c r="E82" s="94">
        <f ca="1">TblConstr[[#This Row],[Land]]</f>
        <v>110</v>
      </c>
      <c r="F82" s="94">
        <f ca="1">TblPop[[#This Row],[Peasants]]</f>
        <v>457</v>
      </c>
      <c r="G82" s="94">
        <f ca="1">TblMili[[#This Row],[Networth (2)]]</f>
        <v>2450</v>
      </c>
      <c r="H82" s="94">
        <f ca="1">OFFSET(TblProd[[#This Row],[Platinum]],-1,0)+OFFSET(TblProd[[#This Row],[Plat/hr]],-1,0) - TblProd[[#This Row],[Expenses Platinum]] + IF(TblProd[[#This Row],[Plat Bonus]],TblPop[[#This Row],[Peasants]]*4) + SUM(TblConstr[[#This Row],[Dest Hom]:[Dest Doc]])*TblConstr[[#This Row],[CPA Platinum -DB]]*tech_3_3_2*TblTech[[#This Row],[3-3]]</f>
        <v>176298</v>
      </c>
      <c r="I82" s="94">
        <f ca="1">OFFSET(TblProd[[#This Row],[Food]],-1,0)+OFFSET(TblProd[[#This Row],[Food/hr]],-1,0)+ROUNDUP((TblConstr[[#This Row],[Farms]]*80+TblConstr[[#This Row],[Docks]]*35)*(1+OFFSET(TblProd[[#This Row],[Bonus Food/hr]],-1,0)),0)</f>
        <v>133304</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1233</v>
      </c>
      <c r="T82" s="94">
        <f ca="1">ROUND(TblProd[[#This Row],[Raw Food/hr]]*(1+TblProd[[#This Row],[Bonus Food/hr]])-TblProd[[#This Row],[Food decay]]-TblProd[[#This Row],[Food eaten]],0)</f>
        <v>978</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1233.9000000000001</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1333.04</v>
      </c>
      <c r="AP82" s="94">
        <f ca="1">(1+race_food_consumption)*TblPop[[#This Row],[Total]]*food_per_person*(1+tech_1_10*TblTech[[#This Row],[1-10]]+tech_7_5*TblTech[[#This Row],[7-5]] + IF(TblMagic[[#This Row],[Active Infernal Command]]&gt;0,demonic_pact_food_cons,0))</f>
        <v>269</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46104.999999999811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176298</v>
      </c>
      <c r="BJ82" s="94">
        <f ca="1">TblProd[[#This Row],[Food]]</f>
        <v>133304</v>
      </c>
      <c r="BK82" s="94">
        <f ca="1">TblProd[[#This Row],[Lumber]]</f>
        <v>61186</v>
      </c>
      <c r="BL82" s="94">
        <f ca="1">TblProd[[#This Row],[Mana]]</f>
        <v>0</v>
      </c>
      <c r="BM82" s="94">
        <f ca="1">TblProd[[#This Row],[Ore]]</f>
        <v>0</v>
      </c>
    </row>
    <row r="83" spans="1:65" x14ac:dyDescent="0.2">
      <c r="A83" s="137">
        <f t="shared" si="0"/>
        <v>44</v>
      </c>
      <c r="B83" s="152">
        <f ca="1">TblImps[[#This Row],[Time]]</f>
        <v>46105.041666666475</v>
      </c>
      <c r="C83" s="153"/>
      <c r="D83" s="154"/>
      <c r="E83" s="94">
        <f ca="1">TblConstr[[#This Row],[Land]]</f>
        <v>110</v>
      </c>
      <c r="F83" s="94">
        <f ca="1">TblPop[[#This Row],[Peasants]]</f>
        <v>452</v>
      </c>
      <c r="G83" s="94">
        <f ca="1">TblMili[[#This Row],[Networth (2)]]</f>
        <v>2450</v>
      </c>
      <c r="H83" s="94">
        <f ca="1">OFFSET(TblProd[[#This Row],[Platinum]],-1,0)+OFFSET(TblProd[[#This Row],[Plat/hr]],-1,0) - TblProd[[#This Row],[Expenses Platinum]] + IF(TblProd[[#This Row],[Plat Bonus]],TblPop[[#This Row],[Peasants]]*4) + SUM(TblConstr[[#This Row],[Dest Hom]:[Dest Doc]])*TblConstr[[#This Row],[CPA Platinum -DB]]*tech_3_3_2*TblTech[[#This Row],[3-3]]</f>
        <v>177531</v>
      </c>
      <c r="I83" s="94">
        <f ca="1">OFFSET(TblProd[[#This Row],[Food]],-1,0)+OFFSET(TblProd[[#This Row],[Food/hr]],-1,0)+ROUNDUP((TblConstr[[#This Row],[Farms]]*80+TblConstr[[#This Row],[Docks]]*35)*(1+OFFSET(TblProd[[#This Row],[Bonus Food/hr]],-1,0)),0)</f>
        <v>134282</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1220</v>
      </c>
      <c r="T83" s="94">
        <f ca="1">ROUND(TblProd[[#This Row],[Raw Food/hr]]*(1+TblProd[[#This Row],[Bonus Food/hr]])-TblProd[[#This Row],[Food decay]]-TblProd[[#This Row],[Food eaten]],0)</f>
        <v>968</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1220.4000000000001</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1342.82</v>
      </c>
      <c r="AP83" s="94">
        <f ca="1">(1+race_food_consumption)*TblPop[[#This Row],[Total]]*food_per_person*(1+tech_1_10*TblTech[[#This Row],[1-10]]+tech_7_5*TblTech[[#This Row],[7-5]] + IF(TblMagic[[#This Row],[Active Infernal Command]]&gt;0,demonic_pact_food_cons,0))</f>
        <v>269</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46105.041666666475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177531</v>
      </c>
      <c r="BJ83" s="94">
        <f ca="1">TblProd[[#This Row],[Food]]</f>
        <v>134282</v>
      </c>
      <c r="BK83" s="94">
        <f ca="1">TblProd[[#This Row],[Lumber]]</f>
        <v>61574</v>
      </c>
      <c r="BL83" s="94">
        <f ca="1">TblProd[[#This Row],[Mana]]</f>
        <v>0</v>
      </c>
      <c r="BM83" s="94">
        <f ca="1">TblProd[[#This Row],[Ore]]</f>
        <v>0</v>
      </c>
    </row>
    <row r="84" spans="1:65" x14ac:dyDescent="0.2">
      <c r="A84" s="137">
        <f t="shared" si="0"/>
        <v>45</v>
      </c>
      <c r="B84" s="152">
        <f ca="1">TblImps[[#This Row],[Time]]</f>
        <v>46105.083333333139</v>
      </c>
      <c r="C84" s="153"/>
      <c r="D84" s="154"/>
      <c r="E84" s="94">
        <f ca="1">TblConstr[[#This Row],[Land]]</f>
        <v>110</v>
      </c>
      <c r="F84" s="94">
        <f ca="1">TblPop[[#This Row],[Peasants]]</f>
        <v>447</v>
      </c>
      <c r="G84" s="94">
        <f ca="1">TblMili[[#This Row],[Networth (2)]]</f>
        <v>2450</v>
      </c>
      <c r="H84" s="94">
        <f ca="1">OFFSET(TblProd[[#This Row],[Platinum]],-1,0)+OFFSET(TblProd[[#This Row],[Plat/hr]],-1,0) - TblProd[[#This Row],[Expenses Platinum]] + IF(TblProd[[#This Row],[Plat Bonus]],TblPop[[#This Row],[Peasants]]*4) + SUM(TblConstr[[#This Row],[Dest Hom]:[Dest Doc]])*TblConstr[[#This Row],[CPA Platinum -DB]]*tech_3_3_2*TblTech[[#This Row],[3-3]]</f>
        <v>178751</v>
      </c>
      <c r="I84" s="94">
        <f ca="1">OFFSET(TblProd[[#This Row],[Food]],-1,0)+OFFSET(TblProd[[#This Row],[Food/hr]],-1,0)+ROUNDUP((TblConstr[[#This Row],[Farms]]*80+TblConstr[[#This Row],[Docks]]*35)*(1+OFFSET(TblProd[[#This Row],[Bonus Food/hr]],-1,0)),0)</f>
        <v>135250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1206</v>
      </c>
      <c r="T84" s="94">
        <f ca="1">ROUND(TblProd[[#This Row],[Raw Food/hr]]*(1+TblProd[[#This Row],[Bonus Food/hr]])-TblProd[[#This Row],[Food decay]]-TblProd[[#This Row],[Food eaten]],0)</f>
        <v>959</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1206.9000000000001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1352.5</v>
      </c>
      <c r="AP84" s="94">
        <f ca="1">(1+race_food_consumption)*TblPop[[#This Row],[Total]]*food_per_person*(1+tech_1_10*TblTech[[#This Row],[1-10]]+tech_7_5*TblTech[[#This Row],[7-5]] + IF(TblMagic[[#This Row],[Active Infernal Command]]&gt;0,demonic_pact_food_cons,0))</f>
        <v>269</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46105.083333333139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178751</v>
      </c>
      <c r="BJ84" s="94">
        <f ca="1">TblProd[[#This Row],[Food]]</f>
        <v>135250</v>
      </c>
      <c r="BK84" s="94">
        <f ca="1">TblProd[[#This Row],[Lumber]]</f>
        <v>61958</v>
      </c>
      <c r="BL84" s="94">
        <f ca="1">TblProd[[#This Row],[Mana]]</f>
        <v>0</v>
      </c>
      <c r="BM84" s="94">
        <f ca="1">TblProd[[#This Row],[Ore]]</f>
        <v>0</v>
      </c>
    </row>
    <row r="85" spans="1:65" x14ac:dyDescent="0.2">
      <c r="A85" s="137">
        <f t="shared" si="0"/>
        <v>46</v>
      </c>
      <c r="B85" s="152">
        <f ca="1">TblImps[[#This Row],[Time]]</f>
        <v>46105.124999999804</v>
      </c>
      <c r="C85" s="153"/>
      <c r="D85" s="154"/>
      <c r="E85" s="94">
        <f ca="1">TblConstr[[#This Row],[Land]]</f>
        <v>110</v>
      </c>
      <c r="F85" s="94">
        <f ca="1">TblPop[[#This Row],[Peasants]]</f>
        <v>443</v>
      </c>
      <c r="G85" s="94">
        <f ca="1">TblMili[[#This Row],[Networth (2)]]</f>
        <v>2450</v>
      </c>
      <c r="H85" s="94">
        <f ca="1">OFFSET(TblProd[[#This Row],[Platinum]],-1,0)+OFFSET(TblProd[[#This Row],[Plat/hr]],-1,0) - TblProd[[#This Row],[Expenses Platinum]] + IF(TblProd[[#This Row],[Plat Bonus]],TblPop[[#This Row],[Peasants]]*4) + SUM(TblConstr[[#This Row],[Dest Hom]:[Dest Doc]])*TblConstr[[#This Row],[CPA Platinum -DB]]*tech_3_3_2*TblTech[[#This Row],[3-3]]</f>
        <v>179957</v>
      </c>
      <c r="I85" s="94">
        <f ca="1">OFFSET(TblProd[[#This Row],[Food]],-1,0)+OFFSET(TblProd[[#This Row],[Food/hr]],-1,0)+ROUNDUP((TblConstr[[#This Row],[Farms]]*80+TblConstr[[#This Row],[Docks]]*35)*(1+OFFSET(TblProd[[#This Row],[Bonus Food/hr]],-1,0)),0)</f>
        <v>136209</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1196</v>
      </c>
      <c r="T85" s="94">
        <f ca="1">ROUND(TblProd[[#This Row],[Raw Food/hr]]*(1+TblProd[[#This Row],[Bonus Food/hr]])-TblProd[[#This Row],[Food decay]]-TblProd[[#This Row],[Food eaten]],0)</f>
        <v>949</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1196.1000000000001</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1362.09</v>
      </c>
      <c r="AP85" s="94">
        <f ca="1">(1+race_food_consumption)*TblPop[[#This Row],[Total]]*food_per_person*(1+tech_1_10*TblTech[[#This Row],[1-10]]+tech_7_5*TblTech[[#This Row],[7-5]] + IF(TblMagic[[#This Row],[Active Infernal Command]]&gt;0,demonic_pact_food_cons,0))</f>
        <v>269</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46105.124999999804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179957</v>
      </c>
      <c r="BJ85" s="94">
        <f ca="1">TblProd[[#This Row],[Food]]</f>
        <v>136209</v>
      </c>
      <c r="BK85" s="94">
        <f ca="1">TblProd[[#This Row],[Lumber]]</f>
        <v>62338</v>
      </c>
      <c r="BL85" s="94">
        <f ca="1">TblProd[[#This Row],[Mana]]</f>
        <v>0</v>
      </c>
      <c r="BM85" s="94">
        <f ca="1">TblProd[[#This Row],[Ore]]</f>
        <v>0</v>
      </c>
    </row>
    <row r="86" spans="1:65" x14ac:dyDescent="0.2">
      <c r="A86" s="137">
        <f t="shared" si="0"/>
        <v>47</v>
      </c>
      <c r="B86" s="152">
        <f ca="1">TblImps[[#This Row],[Time]]</f>
        <v>46105.166666666468</v>
      </c>
      <c r="C86" s="153"/>
      <c r="D86" s="154"/>
      <c r="E86" s="94">
        <f ca="1">TblConstr[[#This Row],[Land]]</f>
        <v>110</v>
      </c>
      <c r="F86" s="94">
        <f ca="1">TblPop[[#This Row],[Peasants]]</f>
        <v>439</v>
      </c>
      <c r="G86" s="94">
        <f ca="1">TblMili[[#This Row],[Networth (2)]]</f>
        <v>2450</v>
      </c>
      <c r="H86" s="94">
        <f ca="1">OFFSET(TblProd[[#This Row],[Platinum]],-1,0)+OFFSET(TblProd[[#This Row],[Plat/hr]],-1,0) - TblProd[[#This Row],[Expenses Platinum]] + IF(TblProd[[#This Row],[Plat Bonus]],TblPop[[#This Row],[Peasants]]*4) + SUM(TblConstr[[#This Row],[Dest Hom]:[Dest Doc]])*TblConstr[[#This Row],[CPA Platinum -DB]]*tech_3_3_2*TblTech[[#This Row],[3-3]]</f>
        <v>181153</v>
      </c>
      <c r="I86" s="94">
        <f ca="1">OFFSET(TblProd[[#This Row],[Food]],-1,0)+OFFSET(TblProd[[#This Row],[Food/hr]],-1,0)+ROUNDUP((TblConstr[[#This Row],[Farms]]*80+TblConstr[[#This Row],[Docks]]*35)*(1+OFFSET(TblProd[[#This Row],[Bonus Food/hr]],-1,0)),0)</f>
        <v>137158</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1185</v>
      </c>
      <c r="T86" s="94">
        <f ca="1">ROUND(TblProd[[#This Row],[Raw Food/hr]]*(1+TblProd[[#This Row],[Bonus Food/hr]])-TblProd[[#This Row],[Food decay]]-TblProd[[#This Row],[Food eaten]],0)</f>
        <v>939</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1185.3000000000002</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1371.58</v>
      </c>
      <c r="AP86" s="94">
        <f ca="1">(1+race_food_consumption)*TblPop[[#This Row],[Total]]*food_per_person*(1+tech_1_10*TblTech[[#This Row],[1-10]]+tech_7_5*TblTech[[#This Row],[7-5]] + IF(TblMagic[[#This Row],[Active Infernal Command]]&gt;0,demonic_pact_food_cons,0))</f>
        <v>269</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46105.166666666468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181153</v>
      </c>
      <c r="BJ86" s="94">
        <f ca="1">TblProd[[#This Row],[Food]]</f>
        <v>137158</v>
      </c>
      <c r="BK86" s="94">
        <f ca="1">TblProd[[#This Row],[Lumber]]</f>
        <v>62715</v>
      </c>
      <c r="BL86" s="94">
        <f ca="1">TblProd[[#This Row],[Mana]]</f>
        <v>0</v>
      </c>
      <c r="BM86" s="94">
        <f ca="1">TblProd[[#This Row],[Ore]]</f>
        <v>0</v>
      </c>
    </row>
    <row r="87" spans="1:65" x14ac:dyDescent="0.2">
      <c r="A87" s="137">
        <f t="shared" si="0"/>
        <v>48</v>
      </c>
      <c r="B87" s="152">
        <f ca="1">TblImps[[#This Row],[Time]]</f>
        <v>46105.208333333132</v>
      </c>
      <c r="C87" s="153"/>
      <c r="D87" s="154"/>
      <c r="E87" s="94">
        <f ca="1">TblConstr[[#This Row],[Land]]</f>
        <v>110</v>
      </c>
      <c r="F87" s="94">
        <f ca="1">TblPop[[#This Row],[Peasants]]</f>
        <v>435</v>
      </c>
      <c r="G87" s="94">
        <f ca="1">TblMili[[#This Row],[Networth (2)]]</f>
        <v>2450</v>
      </c>
      <c r="H87" s="94">
        <f ca="1">OFFSET(TblProd[[#This Row],[Platinum]],-1,0)+OFFSET(TblProd[[#This Row],[Plat/hr]],-1,0) - TblProd[[#This Row],[Expenses Platinum]] + IF(TblProd[[#This Row],[Plat Bonus]],TblPop[[#This Row],[Peasants]]*4) + SUM(TblConstr[[#This Row],[Dest Hom]:[Dest Doc]])*TblConstr[[#This Row],[CPA Platinum -DB]]*tech_3_3_2*TblTech[[#This Row],[3-3]]</f>
        <v>182338</v>
      </c>
      <c r="I87" s="94">
        <f ca="1">OFFSET(TblProd[[#This Row],[Food]],-1,0)+OFFSET(TblProd[[#This Row],[Food/hr]],-1,0)+ROUNDUP((TblConstr[[#This Row],[Farms]]*80+TblConstr[[#This Row],[Docks]]*35)*(1+OFFSET(TblProd[[#This Row],[Bonus Food/hr]],-1,0)),0)</f>
        <v>138097</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1174</v>
      </c>
      <c r="T87" s="94">
        <f ca="1">ROUND(TblProd[[#This Row],[Raw Food/hr]]*(1+TblProd[[#This Row],[Bonus Food/hr]])-TblProd[[#This Row],[Food decay]]-TblProd[[#This Row],[Food eaten]],0)</f>
        <v>930</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1174.5</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1380.97</v>
      </c>
      <c r="AP87" s="94">
        <f ca="1">(1+race_food_consumption)*TblPop[[#This Row],[Total]]*food_per_person*(1+tech_1_10*TblTech[[#This Row],[1-10]]+tech_7_5*TblTech[[#This Row],[7-5]] + IF(TblMagic[[#This Row],[Active Infernal Command]]&gt;0,demonic_pact_food_cons,0))</f>
        <v>269</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46105.208333333132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182338</v>
      </c>
      <c r="BJ87" s="94">
        <f ca="1">TblProd[[#This Row],[Food]]</f>
        <v>138097</v>
      </c>
      <c r="BK87" s="94">
        <f ca="1">TblProd[[#This Row],[Lumber]]</f>
        <v>63088</v>
      </c>
      <c r="BL87" s="94">
        <f ca="1">TblProd[[#This Row],[Mana]]</f>
        <v>0</v>
      </c>
      <c r="BM87" s="94">
        <f ca="1">TblProd[[#This Row],[Ore]]</f>
        <v>0</v>
      </c>
    </row>
    <row r="88" spans="1:65" x14ac:dyDescent="0.2">
      <c r="A88" s="137">
        <f t="shared" si="0"/>
        <v>49</v>
      </c>
      <c r="B88" s="152">
        <f ca="1">TblImps[[#This Row],[Time]]</f>
        <v>46105.249999999796</v>
      </c>
      <c r="C88" s="153"/>
      <c r="D88" s="154"/>
      <c r="E88" s="94">
        <f ca="1">TblConstr[[#This Row],[Land]]</f>
        <v>110</v>
      </c>
      <c r="F88" s="94">
        <f ca="1">TblPop[[#This Row],[Peasants]]</f>
        <v>431</v>
      </c>
      <c r="G88" s="94">
        <f ca="1">TblMili[[#This Row],[Networth (2)]]</f>
        <v>2450</v>
      </c>
      <c r="H88" s="94">
        <f ca="1">OFFSET(TblProd[[#This Row],[Platinum]],-1,0)+OFFSET(TblProd[[#This Row],[Plat/hr]],-1,0) - TblProd[[#This Row],[Expenses Platinum]] + IF(TblProd[[#This Row],[Plat Bonus]],TblPop[[#This Row],[Peasants]]*4) + SUM(TblConstr[[#This Row],[Dest Hom]:[Dest Doc]])*TblConstr[[#This Row],[CPA Platinum -DB]]*tech_3_3_2*TblTech[[#This Row],[3-3]]</f>
        <v>183512</v>
      </c>
      <c r="I88" s="94">
        <f ca="1">OFFSET(TblProd[[#This Row],[Food]],-1,0)+OFFSET(TblProd[[#This Row],[Food/hr]],-1,0)+ROUNDUP((TblConstr[[#This Row],[Farms]]*80+TblConstr[[#This Row],[Docks]]*35)*(1+OFFSET(TblProd[[#This Row],[Bonus Food/hr]],-1,0)),0)</f>
        <v>139027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1163</v>
      </c>
      <c r="T88" s="94">
        <f ca="1">ROUND(TblProd[[#This Row],[Raw Food/hr]]*(1+TblProd[[#This Row],[Bonus Food/hr]])-TblProd[[#This Row],[Food decay]]-TblProd[[#This Row],[Food eaten]],0)</f>
        <v>921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1163.7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1390.27</v>
      </c>
      <c r="AP88" s="94">
        <f ca="1">(1+race_food_consumption)*TblPop[[#This Row],[Total]]*food_per_person*(1+tech_1_10*TblTech[[#This Row],[1-10]]+tech_7_5*TblTech[[#This Row],[7-5]] + IF(TblMagic[[#This Row],[Active Infernal Command]]&gt;0,demonic_pact_food_cons,0))</f>
        <v>269</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46105.249999999796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183512</v>
      </c>
      <c r="BJ88" s="94">
        <f ca="1">TblProd[[#This Row],[Food]]</f>
        <v>139027</v>
      </c>
      <c r="BK88" s="94">
        <f ca="1">TblProd[[#This Row],[Lumber]]</f>
        <v>63457</v>
      </c>
      <c r="BL88" s="94">
        <f ca="1">TblProd[[#This Row],[Mana]]</f>
        <v>0</v>
      </c>
      <c r="BM88" s="94">
        <f ca="1">TblProd[[#This Row],[Ore]]</f>
        <v>0</v>
      </c>
    </row>
    <row r="89" spans="1:65" x14ac:dyDescent="0.2">
      <c r="A89" s="137">
        <f t="shared" si="0"/>
        <v>50</v>
      </c>
      <c r="B89" s="152">
        <f ca="1">TblImps[[#This Row],[Time]]</f>
        <v>46105.291666666461</v>
      </c>
      <c r="C89" s="153"/>
      <c r="D89" s="154"/>
      <c r="E89" s="94">
        <f ca="1">TblConstr[[#This Row],[Land]]</f>
        <v>110</v>
      </c>
      <c r="F89" s="94">
        <f ca="1">TblPop[[#This Row],[Peasants]]</f>
        <v>427</v>
      </c>
      <c r="G89" s="94">
        <f ca="1">TblMili[[#This Row],[Networth (2)]]</f>
        <v>2450</v>
      </c>
      <c r="H89" s="94">
        <f ca="1">OFFSET(TblProd[[#This Row],[Platinum]],-1,0)+OFFSET(TblProd[[#This Row],[Plat/hr]],-1,0) - TblProd[[#This Row],[Expenses Platinum]] + IF(TblProd[[#This Row],[Plat Bonus]],TblPop[[#This Row],[Peasants]]*4) + SUM(TblConstr[[#This Row],[Dest Hom]:[Dest Doc]])*TblConstr[[#This Row],[CPA Platinum -DB]]*tech_3_3_2*TblTech[[#This Row],[3-3]]</f>
        <v>184675</v>
      </c>
      <c r="I89" s="94">
        <f ca="1">OFFSET(TblProd[[#This Row],[Food]],-1,0)+OFFSET(TblProd[[#This Row],[Food/hr]],-1,0)+ROUNDUP((TblConstr[[#This Row],[Farms]]*80+TblConstr[[#This Row],[Docks]]*35)*(1+OFFSET(TblProd[[#This Row],[Bonus Food/hr]],-1,0)),0)</f>
        <v>139948</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1152</v>
      </c>
      <c r="T89" s="94">
        <f ca="1">ROUND(TblProd[[#This Row],[Raw Food/hr]]*(1+TblProd[[#This Row],[Bonus Food/hr]])-TblProd[[#This Row],[Food decay]]-TblProd[[#This Row],[Food eaten]],0)</f>
        <v>912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1152.9000000000001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1399.48</v>
      </c>
      <c r="AP89" s="94">
        <f ca="1">(1+race_food_consumption)*TblPop[[#This Row],[Total]]*food_per_person*(1+tech_1_10*TblTech[[#This Row],[1-10]]+tech_7_5*TblTech[[#This Row],[7-5]] + IF(TblMagic[[#This Row],[Active Infernal Command]]&gt;0,demonic_pact_food_cons,0))</f>
        <v>269</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46105.291666666461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184675</v>
      </c>
      <c r="BJ89" s="94">
        <f ca="1">TblProd[[#This Row],[Food]]</f>
        <v>139948</v>
      </c>
      <c r="BK89" s="94">
        <f ca="1">TblProd[[#This Row],[Lumber]]</f>
        <v>63822</v>
      </c>
      <c r="BL89" s="94">
        <f ca="1">TblProd[[#This Row],[Mana]]</f>
        <v>0</v>
      </c>
      <c r="BM89" s="94">
        <f ca="1">TblProd[[#This Row],[Ore]]</f>
        <v>0</v>
      </c>
    </row>
    <row r="90" spans="1:65" x14ac:dyDescent="0.2">
      <c r="A90" s="137">
        <f t="shared" si="0"/>
        <v>51</v>
      </c>
      <c r="B90" s="152">
        <f ca="1">TblImps[[#This Row],[Time]]</f>
        <v>46105.333333333125</v>
      </c>
      <c r="C90" s="153"/>
      <c r="D90" s="154"/>
      <c r="E90" s="94">
        <f ca="1">TblConstr[[#This Row],[Land]]</f>
        <v>110</v>
      </c>
      <c r="F90" s="94">
        <f ca="1">TblPop[[#This Row],[Peasants]]</f>
        <v>423</v>
      </c>
      <c r="G90" s="94">
        <f ca="1">TblMili[[#This Row],[Networth (2)]]</f>
        <v>2450</v>
      </c>
      <c r="H90" s="94">
        <f ca="1">OFFSET(TblProd[[#This Row],[Platinum]],-1,0)+OFFSET(TblProd[[#This Row],[Plat/hr]],-1,0) - TblProd[[#This Row],[Expenses Platinum]] + IF(TblProd[[#This Row],[Plat Bonus]],TblPop[[#This Row],[Peasants]]*4) + SUM(TblConstr[[#This Row],[Dest Hom]:[Dest Doc]])*TblConstr[[#This Row],[CPA Platinum -DB]]*tech_3_3_2*TblTech[[#This Row],[3-3]]</f>
        <v>185827</v>
      </c>
      <c r="I90" s="94">
        <f ca="1">OFFSET(TblProd[[#This Row],[Food]],-1,0)+OFFSET(TblProd[[#This Row],[Food/hr]],-1,0)+ROUNDUP((TblConstr[[#This Row],[Farms]]*80+TblConstr[[#This Row],[Docks]]*35)*(1+OFFSET(TblProd[[#This Row],[Bonus Food/hr]],-1,0)),0)</f>
        <v>140860</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1142</v>
      </c>
      <c r="T90" s="94">
        <f ca="1">ROUND(TblProd[[#This Row],[Raw Food/hr]]*(1+TblProd[[#This Row],[Bonus Food/hr]])-TblProd[[#This Row],[Food decay]]-TblProd[[#This Row],[Food eaten]],0)</f>
        <v>902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1142.1000000000001</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1408.6000000000001</v>
      </c>
      <c r="AP90" s="94">
        <f ca="1">(1+race_food_consumption)*TblPop[[#This Row],[Total]]*food_per_person*(1+tech_1_10*TblTech[[#This Row],[1-10]]+tech_7_5*TblTech[[#This Row],[7-5]] + IF(TblMagic[[#This Row],[Active Infernal Command]]&gt;0,demonic_pact_food_cons,0))</f>
        <v>269</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46105.333333333125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185827</v>
      </c>
      <c r="BJ90" s="94">
        <f ca="1">TblProd[[#This Row],[Food]]</f>
        <v>140860</v>
      </c>
      <c r="BK90" s="94">
        <f ca="1">TblProd[[#This Row],[Lumber]]</f>
        <v>64184</v>
      </c>
      <c r="BL90" s="94">
        <f ca="1">TblProd[[#This Row],[Mana]]</f>
        <v>0</v>
      </c>
      <c r="BM90" s="94">
        <f ca="1">TblProd[[#This Row],[Ore]]</f>
        <v>0</v>
      </c>
    </row>
    <row r="91" spans="1:65" x14ac:dyDescent="0.2">
      <c r="A91" s="137">
        <f t="shared" si="0"/>
        <v>52</v>
      </c>
      <c r="B91" s="152">
        <f ca="1">TblImps[[#This Row],[Time]]</f>
        <v>46105.374999999789</v>
      </c>
      <c r="C91" s="153"/>
      <c r="D91" s="154"/>
      <c r="E91" s="94">
        <f ca="1">TblConstr[[#This Row],[Land]]</f>
        <v>110</v>
      </c>
      <c r="F91" s="94">
        <f ca="1">TblPop[[#This Row],[Peasants]]</f>
        <v>419</v>
      </c>
      <c r="G91" s="94">
        <f ca="1">TblMili[[#This Row],[Networth (2)]]</f>
        <v>2450</v>
      </c>
      <c r="H91" s="94">
        <f ca="1">OFFSET(TblProd[[#This Row],[Platinum]],-1,0)+OFFSET(TblProd[[#This Row],[Plat/hr]],-1,0) - TblProd[[#This Row],[Expenses Platinum]] + IF(TblProd[[#This Row],[Plat Bonus]],TblPop[[#This Row],[Peasants]]*4) + SUM(TblConstr[[#This Row],[Dest Hom]:[Dest Doc]])*TblConstr[[#This Row],[CPA Platinum -DB]]*tech_3_3_2*TblTech[[#This Row],[3-3]]</f>
        <v>186969</v>
      </c>
      <c r="I91" s="94">
        <f ca="1">OFFSET(TblProd[[#This Row],[Food]],-1,0)+OFFSET(TblProd[[#This Row],[Food/hr]],-1,0)+ROUNDUP((TblConstr[[#This Row],[Farms]]*80+TblConstr[[#This Row],[Docks]]*35)*(1+OFFSET(TblProd[[#This Row],[Bonus Food/hr]],-1,0)),0)</f>
        <v>141762</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1131</v>
      </c>
      <c r="T91" s="94">
        <f ca="1">ROUND(TblProd[[#This Row],[Raw Food/hr]]*(1+TblProd[[#This Row],[Bonus Food/hr]])-TblProd[[#This Row],[Food decay]]-TblProd[[#This Row],[Food eaten]],0)</f>
        <v>893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1131.3000000000002</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1417.6200000000001</v>
      </c>
      <c r="AP91" s="94">
        <f ca="1">(1+race_food_consumption)*TblPop[[#This Row],[Total]]*food_per_person*(1+tech_1_10*TblTech[[#This Row],[1-10]]+tech_7_5*TblTech[[#This Row],[7-5]] + IF(TblMagic[[#This Row],[Active Infernal Command]]&gt;0,demonic_pact_food_cons,0))</f>
        <v>269</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46105.374999999789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186969</v>
      </c>
      <c r="BJ91" s="94">
        <f ca="1">TblProd[[#This Row],[Food]]</f>
        <v>141762</v>
      </c>
      <c r="BK91" s="94">
        <f ca="1">TblProd[[#This Row],[Lumber]]</f>
        <v>64542</v>
      </c>
      <c r="BL91" s="94">
        <f ca="1">TblProd[[#This Row],[Mana]]</f>
        <v>0</v>
      </c>
      <c r="BM91" s="94">
        <f ca="1">TblProd[[#This Row],[Ore]]</f>
        <v>0</v>
      </c>
    </row>
    <row r="92" spans="1:65" x14ac:dyDescent="0.2">
      <c r="A92" s="137">
        <f t="shared" si="0"/>
        <v>53</v>
      </c>
      <c r="B92" s="152">
        <f ca="1">TblImps[[#This Row],[Time]]</f>
        <v>46105.416666666453</v>
      </c>
      <c r="C92" s="153"/>
      <c r="D92" s="154"/>
      <c r="E92" s="94">
        <f ca="1">TblConstr[[#This Row],[Land]]</f>
        <v>110</v>
      </c>
      <c r="F92" s="94">
        <f ca="1">TblPop[[#This Row],[Peasants]]</f>
        <v>415</v>
      </c>
      <c r="G92" s="94">
        <f ca="1">TblMili[[#This Row],[Networth (2)]]</f>
        <v>2450</v>
      </c>
      <c r="H92" s="94">
        <f ca="1">OFFSET(TblProd[[#This Row],[Platinum]],-1,0)+OFFSET(TblProd[[#This Row],[Plat/hr]],-1,0) - TblProd[[#This Row],[Expenses Platinum]] + IF(TblProd[[#This Row],[Plat Bonus]],TblPop[[#This Row],[Peasants]]*4) + SUM(TblConstr[[#This Row],[Dest Hom]:[Dest Doc]])*TblConstr[[#This Row],[CPA Platinum -DB]]*tech_3_3_2*TblTech[[#This Row],[3-3]]</f>
        <v>188100</v>
      </c>
      <c r="I92" s="94">
        <f ca="1">OFFSET(TblProd[[#This Row],[Food]],-1,0)+OFFSET(TblProd[[#This Row],[Food/hr]],-1,0)+ROUNDUP((TblConstr[[#This Row],[Farms]]*80+TblConstr[[#This Row],[Docks]]*35)*(1+OFFSET(TblProd[[#This Row],[Bonus Food/hr]],-1,0)),0)</f>
        <v>142655</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1120</v>
      </c>
      <c r="T92" s="94">
        <f ca="1">ROUND(TblProd[[#This Row],[Raw Food/hr]]*(1+TblProd[[#This Row],[Bonus Food/hr]])-TblProd[[#This Row],[Food decay]]-TblProd[[#This Row],[Food eaten]],0)</f>
        <v>884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1120.5</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1426.55</v>
      </c>
      <c r="AP92" s="94">
        <f ca="1">(1+race_food_consumption)*TblPop[[#This Row],[Total]]*food_per_person*(1+tech_1_10*TblTech[[#This Row],[1-10]]+tech_7_5*TblTech[[#This Row],[7-5]] + IF(TblMagic[[#This Row],[Active Infernal Command]]&gt;0,demonic_pact_food_cons,0))</f>
        <v>269</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46105.416666666453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188100</v>
      </c>
      <c r="BJ92" s="94">
        <f ca="1">TblProd[[#This Row],[Food]]</f>
        <v>142655</v>
      </c>
      <c r="BK92" s="94">
        <f ca="1">TblProd[[#This Row],[Lumber]]</f>
        <v>64897</v>
      </c>
      <c r="BL92" s="94">
        <f ca="1">TblProd[[#This Row],[Mana]]</f>
        <v>0</v>
      </c>
      <c r="BM92" s="94">
        <f ca="1">TblProd[[#This Row],[Ore]]</f>
        <v>0</v>
      </c>
    </row>
    <row r="93" spans="1:65" x14ac:dyDescent="0.2">
      <c r="A93" s="137">
        <f t="shared" si="0"/>
        <v>54</v>
      </c>
      <c r="B93" s="152">
        <f ca="1">TblImps[[#This Row],[Time]]</f>
        <v>46105.458333333117</v>
      </c>
      <c r="C93" s="153"/>
      <c r="D93" s="154"/>
      <c r="E93" s="94">
        <f ca="1">TblConstr[[#This Row],[Land]]</f>
        <v>110</v>
      </c>
      <c r="F93" s="94">
        <f ca="1">TblPop[[#This Row],[Peasants]]</f>
        <v>411</v>
      </c>
      <c r="G93" s="94">
        <f ca="1">TblMili[[#This Row],[Networth (2)]]</f>
        <v>2450</v>
      </c>
      <c r="H93" s="94">
        <f ca="1">OFFSET(TblProd[[#This Row],[Platinum]],-1,0)+OFFSET(TblProd[[#This Row],[Plat/hr]],-1,0) - TblProd[[#This Row],[Expenses Platinum]] + IF(TblProd[[#This Row],[Plat Bonus]],TblPop[[#This Row],[Peasants]]*4) + SUM(TblConstr[[#This Row],[Dest Hom]:[Dest Doc]])*TblConstr[[#This Row],[CPA Platinum -DB]]*tech_3_3_2*TblTech[[#This Row],[3-3]]</f>
        <v>189220</v>
      </c>
      <c r="I93" s="94">
        <f ca="1">OFFSET(TblProd[[#This Row],[Food]],-1,0)+OFFSET(TblProd[[#This Row],[Food/hr]],-1,0)+ROUNDUP((TblConstr[[#This Row],[Farms]]*80+TblConstr[[#This Row],[Docks]]*35)*(1+OFFSET(TblProd[[#This Row],[Bonus Food/hr]],-1,0)),0)</f>
        <v>143539</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1109</v>
      </c>
      <c r="T93" s="94">
        <f ca="1">ROUND(TblProd[[#This Row],[Raw Food/hr]]*(1+TblProd[[#This Row],[Bonus Food/hr]])-TblProd[[#This Row],[Food decay]]-TblProd[[#This Row],[Food eaten]],0)</f>
        <v>876</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1109.7</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1435.39</v>
      </c>
      <c r="AP93" s="94">
        <f ca="1">(1+race_food_consumption)*TblPop[[#This Row],[Total]]*food_per_person*(1+tech_1_10*TblTech[[#This Row],[1-10]]+tech_7_5*TblTech[[#This Row],[7-5]] + IF(TblMagic[[#This Row],[Active Infernal Command]]&gt;0,demonic_pact_food_cons,0))</f>
        <v>269</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46105.458333333117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189220</v>
      </c>
      <c r="BJ93" s="94">
        <f ca="1">TblProd[[#This Row],[Food]]</f>
        <v>143539</v>
      </c>
      <c r="BK93" s="94">
        <f ca="1">TblProd[[#This Row],[Lumber]]</f>
        <v>65248</v>
      </c>
      <c r="BL93" s="94">
        <f ca="1">TblProd[[#This Row],[Mana]]</f>
        <v>0</v>
      </c>
      <c r="BM93" s="94">
        <f ca="1">TblProd[[#This Row],[Ore]]</f>
        <v>0</v>
      </c>
    </row>
    <row r="94" spans="1:65" x14ac:dyDescent="0.2">
      <c r="A94" s="137">
        <f t="shared" si="0"/>
        <v>55</v>
      </c>
      <c r="B94" s="152">
        <f ca="1">TblImps[[#This Row],[Time]]</f>
        <v>46105.499999999782</v>
      </c>
      <c r="C94" s="153"/>
      <c r="D94" s="154"/>
      <c r="E94" s="94">
        <f ca="1">TblConstr[[#This Row],[Land]]</f>
        <v>110</v>
      </c>
      <c r="F94" s="94">
        <f ca="1">TblPop[[#This Row],[Peasants]]</f>
        <v>407</v>
      </c>
      <c r="G94" s="94">
        <f ca="1">TblMili[[#This Row],[Networth (2)]]</f>
        <v>2450</v>
      </c>
      <c r="H94" s="94">
        <f ca="1">OFFSET(TblProd[[#This Row],[Platinum]],-1,0)+OFFSET(TblProd[[#This Row],[Plat/hr]],-1,0) - TblProd[[#This Row],[Expenses Platinum]] + IF(TblProd[[#This Row],[Plat Bonus]],TblPop[[#This Row],[Peasants]]*4) + SUM(TblConstr[[#This Row],[Dest Hom]:[Dest Doc]])*TblConstr[[#This Row],[CPA Platinum -DB]]*tech_3_3_2*TblTech[[#This Row],[3-3]]</f>
        <v>190329</v>
      </c>
      <c r="I94" s="94">
        <f ca="1">OFFSET(TblProd[[#This Row],[Food]],-1,0)+OFFSET(TblProd[[#This Row],[Food/hr]],-1,0)+ROUNDUP((TblConstr[[#This Row],[Farms]]*80+TblConstr[[#This Row],[Docks]]*35)*(1+OFFSET(TblProd[[#This Row],[Bonus Food/hr]],-1,0)),0)</f>
        <v>144415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1098</v>
      </c>
      <c r="T94" s="94">
        <f ca="1">ROUND(TblProd[[#This Row],[Raw Food/hr]]*(1+TblProd[[#This Row],[Bonus Food/hr]])-TblProd[[#This Row],[Food decay]]-TblProd[[#This Row],[Food eaten]],0)</f>
        <v>867</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1098.9000000000001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1444.15</v>
      </c>
      <c r="AP94" s="94">
        <f ca="1">(1+race_food_consumption)*TblPop[[#This Row],[Total]]*food_per_person*(1+tech_1_10*TblTech[[#This Row],[1-10]]+tech_7_5*TblTech[[#This Row],[7-5]] + IF(TblMagic[[#This Row],[Active Infernal Command]]&gt;0,demonic_pact_food_cons,0))</f>
        <v>269</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46105.499999999782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190329</v>
      </c>
      <c r="BJ94" s="94">
        <f ca="1">TblProd[[#This Row],[Food]]</f>
        <v>144415</v>
      </c>
      <c r="BK94" s="94">
        <f ca="1">TblProd[[#This Row],[Lumber]]</f>
        <v>65596</v>
      </c>
      <c r="BL94" s="94">
        <f ca="1">TblProd[[#This Row],[Mana]]</f>
        <v>0</v>
      </c>
      <c r="BM94" s="94">
        <f ca="1">TblProd[[#This Row],[Ore]]</f>
        <v>0</v>
      </c>
    </row>
    <row r="95" spans="1:65" x14ac:dyDescent="0.2">
      <c r="A95" s="137">
        <f t="shared" si="0"/>
        <v>56</v>
      </c>
      <c r="B95" s="152">
        <f ca="1">TblImps[[#This Row],[Time]]</f>
        <v>46105.541666666446</v>
      </c>
      <c r="C95" s="153"/>
      <c r="D95" s="154"/>
      <c r="E95" s="94">
        <f ca="1">TblConstr[[#This Row],[Land]]</f>
        <v>110</v>
      </c>
      <c r="F95" s="94">
        <f ca="1">TblPop[[#This Row],[Peasants]]</f>
        <v>403</v>
      </c>
      <c r="G95" s="94">
        <f ca="1">TblMili[[#This Row],[Networth (2)]]</f>
        <v>2450</v>
      </c>
      <c r="H95" s="94">
        <f ca="1">OFFSET(TblProd[[#This Row],[Platinum]],-1,0)+OFFSET(TblProd[[#This Row],[Plat/hr]],-1,0) - TblProd[[#This Row],[Expenses Platinum]] + IF(TblProd[[#This Row],[Plat Bonus]],TblPop[[#This Row],[Peasants]]*4) + SUM(TblConstr[[#This Row],[Dest Hom]:[Dest Doc]])*TblConstr[[#This Row],[CPA Platinum -DB]]*tech_3_3_2*TblTech[[#This Row],[3-3]]</f>
        <v>191427</v>
      </c>
      <c r="I95" s="94">
        <f ca="1">OFFSET(TblProd[[#This Row],[Food]],-1,0)+OFFSET(TblProd[[#This Row],[Food/hr]],-1,0)+ROUNDUP((TblConstr[[#This Row],[Farms]]*80+TblConstr[[#This Row],[Docks]]*35)*(1+OFFSET(TblProd[[#This Row],[Bonus Food/hr]],-1,0)),0)</f>
        <v>145282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1088</v>
      </c>
      <c r="T95" s="94">
        <f ca="1">ROUND(TblProd[[#This Row],[Raw Food/hr]]*(1+TblProd[[#This Row],[Bonus Food/hr]])-TblProd[[#This Row],[Food decay]]-TblProd[[#This Row],[Food eaten]],0)</f>
        <v>858</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1088.1000000000001</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1452.82</v>
      </c>
      <c r="AP95" s="94">
        <f ca="1">(1+race_food_consumption)*TblPop[[#This Row],[Total]]*food_per_person*(1+tech_1_10*TblTech[[#This Row],[1-10]]+tech_7_5*TblTech[[#This Row],[7-5]] + IF(TblMagic[[#This Row],[Active Infernal Command]]&gt;0,demonic_pact_food_cons,0))</f>
        <v>269</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46105.541666666446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191427</v>
      </c>
      <c r="BJ95" s="94">
        <f ca="1">TblProd[[#This Row],[Food]]</f>
        <v>145282</v>
      </c>
      <c r="BK95" s="94">
        <f ca="1">TblProd[[#This Row],[Lumber]]</f>
        <v>65940</v>
      </c>
      <c r="BL95" s="94">
        <f ca="1">TblProd[[#This Row],[Mana]]</f>
        <v>0</v>
      </c>
      <c r="BM95" s="94">
        <f ca="1">TblProd[[#This Row],[Ore]]</f>
        <v>0</v>
      </c>
    </row>
    <row r="96" spans="1:65" x14ac:dyDescent="0.2">
      <c r="A96" s="137">
        <f t="shared" si="0"/>
        <v>57</v>
      </c>
      <c r="B96" s="152">
        <f ca="1">TblImps[[#This Row],[Time]]</f>
        <v>46105.58333333311</v>
      </c>
      <c r="C96" s="153"/>
      <c r="D96" s="154"/>
      <c r="E96" s="94">
        <f ca="1">TblConstr[[#This Row],[Land]]</f>
        <v>110</v>
      </c>
      <c r="F96" s="94">
        <f ca="1">TblPop[[#This Row],[Peasants]]</f>
        <v>399</v>
      </c>
      <c r="G96" s="94">
        <f ca="1">TblMili[[#This Row],[Networth (2)]]</f>
        <v>2450</v>
      </c>
      <c r="H96" s="94">
        <f ca="1">OFFSET(TblProd[[#This Row],[Platinum]],-1,0)+OFFSET(TblProd[[#This Row],[Plat/hr]],-1,0) - TblProd[[#This Row],[Expenses Platinum]] + IF(TblProd[[#This Row],[Plat Bonus]],TblPop[[#This Row],[Peasants]]*4) + SUM(TblConstr[[#This Row],[Dest Hom]:[Dest Doc]])*TblConstr[[#This Row],[CPA Platinum -DB]]*tech_3_3_2*TblTech[[#This Row],[3-3]]</f>
        <v>192515</v>
      </c>
      <c r="I96" s="94">
        <f ca="1">OFFSET(TblProd[[#This Row],[Food]],-1,0)+OFFSET(TblProd[[#This Row],[Food/hr]],-1,0)+ROUNDUP((TblConstr[[#This Row],[Farms]]*80+TblConstr[[#This Row],[Docks]]*35)*(1+OFFSET(TblProd[[#This Row],[Bonus Food/hr]],-1,0)),0)</f>
        <v>146140</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1077</v>
      </c>
      <c r="T96" s="94">
        <f ca="1">ROUND(TblProd[[#This Row],[Raw Food/hr]]*(1+TblProd[[#This Row],[Bonus Food/hr]])-TblProd[[#This Row],[Food decay]]-TblProd[[#This Row],[Food eaten]],0)</f>
        <v>850</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1077.3000000000002</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1461.4</v>
      </c>
      <c r="AP96" s="94">
        <f ca="1">(1+race_food_consumption)*TblPop[[#This Row],[Total]]*food_per_person*(1+tech_1_10*TblTech[[#This Row],[1-10]]+tech_7_5*TblTech[[#This Row],[7-5]] + IF(TblMagic[[#This Row],[Active Infernal Command]]&gt;0,demonic_pact_food_cons,0))</f>
        <v>269</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46105.58333333311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192515</v>
      </c>
      <c r="BJ96" s="94">
        <f ca="1">TblProd[[#This Row],[Food]]</f>
        <v>146140</v>
      </c>
      <c r="BK96" s="94">
        <f ca="1">TblProd[[#This Row],[Lumber]]</f>
        <v>66281</v>
      </c>
      <c r="BL96" s="94">
        <f ca="1">TblProd[[#This Row],[Mana]]</f>
        <v>0</v>
      </c>
      <c r="BM96" s="94">
        <f ca="1">TblProd[[#This Row],[Ore]]</f>
        <v>0</v>
      </c>
    </row>
    <row r="97" spans="1:65" x14ac:dyDescent="0.2">
      <c r="A97" s="137">
        <f t="shared" si="0"/>
        <v>58</v>
      </c>
      <c r="B97" s="152">
        <f ca="1">TblImps[[#This Row],[Time]]</f>
        <v>46105.624999999774</v>
      </c>
      <c r="C97" s="153"/>
      <c r="D97" s="154"/>
      <c r="E97" s="94">
        <f ca="1">TblConstr[[#This Row],[Land]]</f>
        <v>110</v>
      </c>
      <c r="F97" s="94">
        <f ca="1">TblPop[[#This Row],[Peasants]]</f>
        <v>395</v>
      </c>
      <c r="G97" s="94">
        <f ca="1">TblMili[[#This Row],[Networth (2)]]</f>
        <v>2450</v>
      </c>
      <c r="H97" s="94">
        <f ca="1">OFFSET(TblProd[[#This Row],[Platinum]],-1,0)+OFFSET(TblProd[[#This Row],[Plat/hr]],-1,0) - TblProd[[#This Row],[Expenses Platinum]] + IF(TblProd[[#This Row],[Plat Bonus]],TblPop[[#This Row],[Peasants]]*4) + SUM(TblConstr[[#This Row],[Dest Hom]:[Dest Doc]])*TblConstr[[#This Row],[CPA Platinum -DB]]*tech_3_3_2*TblTech[[#This Row],[3-3]]</f>
        <v>193592</v>
      </c>
      <c r="I97" s="94">
        <f ca="1">OFFSET(TblProd[[#This Row],[Food]],-1,0)+OFFSET(TblProd[[#This Row],[Food/hr]],-1,0)+ROUNDUP((TblConstr[[#This Row],[Farms]]*80+TblConstr[[#This Row],[Docks]]*35)*(1+OFFSET(TblProd[[#This Row],[Bonus Food/hr]],-1,0)),0)</f>
        <v>146990</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1066</v>
      </c>
      <c r="T97" s="94">
        <f ca="1">ROUND(TblProd[[#This Row],[Raw Food/hr]]*(1+TblProd[[#This Row],[Bonus Food/hr]])-TblProd[[#This Row],[Food decay]]-TblProd[[#This Row],[Food eaten]],0)</f>
        <v>841</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1066.5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1469.9</v>
      </c>
      <c r="AP97" s="94">
        <f ca="1">(1+race_food_consumption)*TblPop[[#This Row],[Total]]*food_per_person*(1+tech_1_10*TblTech[[#This Row],[1-10]]+tech_7_5*TblTech[[#This Row],[7-5]] + IF(TblMagic[[#This Row],[Active Infernal Command]]&gt;0,demonic_pact_food_cons,0))</f>
        <v>269</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46105.624999999774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193592</v>
      </c>
      <c r="BJ97" s="94">
        <f ca="1">TblProd[[#This Row],[Food]]</f>
        <v>146990</v>
      </c>
      <c r="BK97" s="94">
        <f ca="1">TblProd[[#This Row],[Lumber]]</f>
        <v>66618</v>
      </c>
      <c r="BL97" s="94">
        <f ca="1">TblProd[[#This Row],[Mana]]</f>
        <v>0</v>
      </c>
      <c r="BM97" s="94">
        <f ca="1">TblProd[[#This Row],[Ore]]</f>
        <v>0</v>
      </c>
    </row>
    <row r="98" spans="1:65" x14ac:dyDescent="0.2">
      <c r="A98" s="137">
        <f t="shared" si="0"/>
        <v>59</v>
      </c>
      <c r="B98" s="152">
        <f ca="1">TblImps[[#This Row],[Time]]</f>
        <v>46105.666666666439</v>
      </c>
      <c r="C98" s="153"/>
      <c r="D98" s="154"/>
      <c r="E98" s="94">
        <f ca="1">TblConstr[[#This Row],[Land]]</f>
        <v>110</v>
      </c>
      <c r="F98" s="94">
        <f ca="1">TblPop[[#This Row],[Peasants]]</f>
        <v>391</v>
      </c>
      <c r="G98" s="94">
        <f ca="1">TblMili[[#This Row],[Networth (2)]]</f>
        <v>2450</v>
      </c>
      <c r="H98" s="94">
        <f ca="1">OFFSET(TblProd[[#This Row],[Platinum]],-1,0)+OFFSET(TblProd[[#This Row],[Plat/hr]],-1,0) - TblProd[[#This Row],[Expenses Platinum]] + IF(TblProd[[#This Row],[Plat Bonus]],TblPop[[#This Row],[Peasants]]*4) + SUM(TblConstr[[#This Row],[Dest Hom]:[Dest Doc]])*TblConstr[[#This Row],[CPA Platinum -DB]]*tech_3_3_2*TblTech[[#This Row],[3-3]]</f>
        <v>194658</v>
      </c>
      <c r="I98" s="94">
        <f ca="1">OFFSET(TblProd[[#This Row],[Food]],-1,0)+OFFSET(TblProd[[#This Row],[Food/hr]],-1,0)+ROUNDUP((TblConstr[[#This Row],[Farms]]*80+TblConstr[[#This Row],[Docks]]*35)*(1+OFFSET(TblProd[[#This Row],[Bonus Food/hr]],-1,0)),0)</f>
        <v>147831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1055</v>
      </c>
      <c r="T98" s="94">
        <f ca="1">ROUND(TblProd[[#This Row],[Raw Food/hr]]*(1+TblProd[[#This Row],[Bonus Food/hr]])-TblProd[[#This Row],[Food decay]]-TblProd[[#This Row],[Food eaten]],0)</f>
        <v>833</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1055.7</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1478.31</v>
      </c>
      <c r="AP98" s="94">
        <f ca="1">(1+race_food_consumption)*TblPop[[#This Row],[Total]]*food_per_person*(1+tech_1_10*TblTech[[#This Row],[1-10]]+tech_7_5*TblTech[[#This Row],[7-5]] + IF(TblMagic[[#This Row],[Active Infernal Command]]&gt;0,demonic_pact_food_cons,0))</f>
        <v>269</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46105.666666666439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194658</v>
      </c>
      <c r="BJ98" s="94">
        <f ca="1">TblProd[[#This Row],[Food]]</f>
        <v>147831</v>
      </c>
      <c r="BK98" s="94">
        <f ca="1">TblProd[[#This Row],[Lumber]]</f>
        <v>66952</v>
      </c>
      <c r="BL98" s="94">
        <f ca="1">TblProd[[#This Row],[Mana]]</f>
        <v>0</v>
      </c>
      <c r="BM98" s="94">
        <f ca="1">TblProd[[#This Row],[Ore]]</f>
        <v>0</v>
      </c>
    </row>
    <row r="99" spans="1:65" x14ac:dyDescent="0.2">
      <c r="A99" s="137">
        <f t="shared" si="0"/>
        <v>60</v>
      </c>
      <c r="B99" s="152">
        <f ca="1">TblImps[[#This Row],[Time]]</f>
        <v>46105.708333333103</v>
      </c>
      <c r="C99" s="153"/>
      <c r="D99" s="154"/>
      <c r="E99" s="94">
        <f ca="1">TblConstr[[#This Row],[Land]]</f>
        <v>110</v>
      </c>
      <c r="F99" s="94">
        <f ca="1">TblPop[[#This Row],[Peasants]]</f>
        <v>387</v>
      </c>
      <c r="G99" s="94">
        <f ca="1">TblMili[[#This Row],[Networth (2)]]</f>
        <v>2450</v>
      </c>
      <c r="H99" s="94">
        <f ca="1">OFFSET(TblProd[[#This Row],[Platinum]],-1,0)+OFFSET(TblProd[[#This Row],[Plat/hr]],-1,0) - TblProd[[#This Row],[Expenses Platinum]] + IF(TblProd[[#This Row],[Plat Bonus]],TblPop[[#This Row],[Peasants]]*4) + SUM(TblConstr[[#This Row],[Dest Hom]:[Dest Doc]])*TblConstr[[#This Row],[CPA Platinum -DB]]*tech_3_3_2*TblTech[[#This Row],[3-3]]</f>
        <v>195713</v>
      </c>
      <c r="I99" s="94">
        <f ca="1">OFFSET(TblProd[[#This Row],[Food]],-1,0)+OFFSET(TblProd[[#This Row],[Food/hr]],-1,0)+ROUNDUP((TblConstr[[#This Row],[Farms]]*80+TblConstr[[#This Row],[Docks]]*35)*(1+OFFSET(TblProd[[#This Row],[Bonus Food/hr]],-1,0)),0)</f>
        <v>148664</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1044</v>
      </c>
      <c r="T99" s="94">
        <f ca="1">ROUND(TblProd[[#This Row],[Raw Food/hr]]*(1+TblProd[[#This Row],[Bonus Food/hr]])-TblProd[[#This Row],[Food decay]]-TblProd[[#This Row],[Food eaten]],0)</f>
        <v>824</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1044.9000000000001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1486.64</v>
      </c>
      <c r="AP99" s="94">
        <f ca="1">(1+race_food_consumption)*TblPop[[#This Row],[Total]]*food_per_person*(1+tech_1_10*TblTech[[#This Row],[1-10]]+tech_7_5*TblTech[[#This Row],[7-5]] + IF(TblMagic[[#This Row],[Active Infernal Command]]&gt;0,demonic_pact_food_cons,0))</f>
        <v>269</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46105.708333333103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195713</v>
      </c>
      <c r="BJ99" s="94">
        <f ca="1">TblProd[[#This Row],[Food]]</f>
        <v>148664</v>
      </c>
      <c r="BK99" s="94">
        <f ca="1">TblProd[[#This Row],[Lumber]]</f>
        <v>67282</v>
      </c>
      <c r="BL99" s="94">
        <f ca="1">TblProd[[#This Row],[Mana]]</f>
        <v>0</v>
      </c>
      <c r="BM99" s="94">
        <f ca="1">TblProd[[#This Row],[Ore]]</f>
        <v>0</v>
      </c>
    </row>
    <row r="100" spans="1:65" x14ac:dyDescent="0.2">
      <c r="A100" s="137">
        <f t="shared" si="0"/>
        <v>61</v>
      </c>
      <c r="B100" s="152">
        <f ca="1">TblImps[[#This Row],[Time]]</f>
        <v>46105.749999999767</v>
      </c>
      <c r="C100" s="153"/>
      <c r="D100" s="154"/>
      <c r="E100" s="94">
        <f ca="1">TblConstr[[#This Row],[Land]]</f>
        <v>110</v>
      </c>
      <c r="F100" s="94">
        <f ca="1">TblPop[[#This Row],[Peasants]]</f>
        <v>383</v>
      </c>
      <c r="G100" s="94">
        <f ca="1">TblMili[[#This Row],[Networth (2)]]</f>
        <v>2450</v>
      </c>
      <c r="H100" s="94">
        <f ca="1">OFFSET(TblProd[[#This Row],[Platinum]],-1,0)+OFFSET(TblProd[[#This Row],[Plat/hr]],-1,0) - TblProd[[#This Row],[Expenses Platinum]] + IF(TblProd[[#This Row],[Plat Bonus]],TblPop[[#This Row],[Peasants]]*4) + SUM(TblConstr[[#This Row],[Dest Hom]:[Dest Doc]])*TblConstr[[#This Row],[CPA Platinum -DB]]*tech_3_3_2*TblTech[[#This Row],[3-3]]</f>
        <v>196757</v>
      </c>
      <c r="I100" s="94">
        <f ca="1">OFFSET(TblProd[[#This Row],[Food]],-1,0)+OFFSET(TblProd[[#This Row],[Food/hr]],-1,0)+ROUNDUP((TblConstr[[#This Row],[Farms]]*80+TblConstr[[#This Row],[Docks]]*35)*(1+OFFSET(TblProd[[#This Row],[Bonus Food/hr]],-1,0)),0)</f>
        <v>149488</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1034</v>
      </c>
      <c r="T100" s="94">
        <f ca="1">ROUND(TblProd[[#This Row],[Raw Food/hr]]*(1+TblProd[[#This Row],[Bonus Food/hr]])-TblProd[[#This Row],[Food decay]]-TblProd[[#This Row],[Food eaten]],0)</f>
        <v>816</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1034.1000000000001</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1494.88</v>
      </c>
      <c r="AP100" s="94">
        <f ca="1">(1+race_food_consumption)*TblPop[[#This Row],[Total]]*food_per_person*(1+tech_1_10*TblTech[[#This Row],[1-10]]+tech_7_5*TblTech[[#This Row],[7-5]] + IF(TblMagic[[#This Row],[Active Infernal Command]]&gt;0,demonic_pact_food_cons,0))</f>
        <v>269</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46105.749999999767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196757</v>
      </c>
      <c r="BJ100" s="94">
        <f ca="1">TblProd[[#This Row],[Food]]</f>
        <v>149488</v>
      </c>
      <c r="BK100" s="94">
        <f ca="1">TblProd[[#This Row],[Lumber]]</f>
        <v>67609</v>
      </c>
      <c r="BL100" s="94">
        <f ca="1">TblProd[[#This Row],[Mana]]</f>
        <v>0</v>
      </c>
      <c r="BM100" s="94">
        <f ca="1">TblProd[[#This Row],[Ore]]</f>
        <v>0</v>
      </c>
    </row>
    <row r="101" spans="1:65" x14ac:dyDescent="0.2">
      <c r="A101" s="137">
        <f t="shared" si="0"/>
        <v>62</v>
      </c>
      <c r="B101" s="152">
        <f ca="1">TblImps[[#This Row],[Time]]</f>
        <v>46105.791666666431</v>
      </c>
      <c r="C101" s="153"/>
      <c r="D101" s="154"/>
      <c r="E101" s="94">
        <f ca="1">TblConstr[[#This Row],[Land]]</f>
        <v>110</v>
      </c>
      <c r="F101" s="94">
        <f ca="1">TblPop[[#This Row],[Peasants]]</f>
        <v>379</v>
      </c>
      <c r="G101" s="94">
        <f ca="1">TblMili[[#This Row],[Networth (2)]]</f>
        <v>2450</v>
      </c>
      <c r="H101" s="94">
        <f ca="1">OFFSET(TblProd[[#This Row],[Platinum]],-1,0)+OFFSET(TblProd[[#This Row],[Plat/hr]],-1,0) - TblProd[[#This Row],[Expenses Platinum]] + IF(TblProd[[#This Row],[Plat Bonus]],TblPop[[#This Row],[Peasants]]*4) + SUM(TblConstr[[#This Row],[Dest Hom]:[Dest Doc]])*TblConstr[[#This Row],[CPA Platinum -DB]]*tech_3_3_2*TblTech[[#This Row],[3-3]]</f>
        <v>197791</v>
      </c>
      <c r="I101" s="94">
        <f ca="1">OFFSET(TblProd[[#This Row],[Food]],-1,0)+OFFSET(TblProd[[#This Row],[Food/hr]],-1,0)+ROUNDUP((TblConstr[[#This Row],[Farms]]*80+TblConstr[[#This Row],[Docks]]*35)*(1+OFFSET(TblProd[[#This Row],[Bonus Food/hr]],-1,0)),0)</f>
        <v>150304</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1023</v>
      </c>
      <c r="T101" s="94">
        <f ca="1">ROUND(TblProd[[#This Row],[Raw Food/hr]]*(1+TblProd[[#This Row],[Bonus Food/hr]])-TblProd[[#This Row],[Food decay]]-TblProd[[#This Row],[Food eaten]],0)</f>
        <v>808</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1023.3000000000001</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1503.04</v>
      </c>
      <c r="AP101" s="94">
        <f ca="1">(1+race_food_consumption)*TblPop[[#This Row],[Total]]*food_per_person*(1+tech_1_10*TblTech[[#This Row],[1-10]]+tech_7_5*TblTech[[#This Row],[7-5]] + IF(TblMagic[[#This Row],[Active Infernal Command]]&gt;0,demonic_pact_food_cons,0))</f>
        <v>269</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46105.791666666431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197791</v>
      </c>
      <c r="BJ101" s="94">
        <f ca="1">TblProd[[#This Row],[Food]]</f>
        <v>150304</v>
      </c>
      <c r="BK101" s="94">
        <f ca="1">TblProd[[#This Row],[Lumber]]</f>
        <v>67933</v>
      </c>
      <c r="BL101" s="94">
        <f ca="1">TblProd[[#This Row],[Mana]]</f>
        <v>0</v>
      </c>
      <c r="BM101" s="94">
        <f ca="1">TblProd[[#This Row],[Ore]]</f>
        <v>0</v>
      </c>
    </row>
    <row r="102" spans="1:65" x14ac:dyDescent="0.2">
      <c r="A102" s="137">
        <f t="shared" si="0"/>
        <v>63</v>
      </c>
      <c r="B102" s="152">
        <f ca="1">TblImps[[#This Row],[Time]]</f>
        <v>46105.833333333096</v>
      </c>
      <c r="C102" s="153"/>
      <c r="D102" s="154"/>
      <c r="E102" s="94">
        <f ca="1">TblConstr[[#This Row],[Land]]</f>
        <v>110</v>
      </c>
      <c r="F102" s="94">
        <f ca="1">TblPop[[#This Row],[Peasants]]</f>
        <v>375</v>
      </c>
      <c r="G102" s="94">
        <f ca="1">TblMili[[#This Row],[Networth (2)]]</f>
        <v>2450</v>
      </c>
      <c r="H102" s="94">
        <f ca="1">OFFSET(TblProd[[#This Row],[Platinum]],-1,0)+OFFSET(TblProd[[#This Row],[Plat/hr]],-1,0) - TblProd[[#This Row],[Expenses Platinum]] + IF(TblProd[[#This Row],[Plat Bonus]],TblPop[[#This Row],[Peasants]]*4) + SUM(TblConstr[[#This Row],[Dest Hom]:[Dest Doc]])*TblConstr[[#This Row],[CPA Platinum -DB]]*tech_3_3_2*TblTech[[#This Row],[3-3]]</f>
        <v>198814</v>
      </c>
      <c r="I102" s="94">
        <f ca="1">OFFSET(TblProd[[#This Row],[Food]],-1,0)+OFFSET(TblProd[[#This Row],[Food/hr]],-1,0)+ROUNDUP((TblConstr[[#This Row],[Farms]]*80+TblConstr[[#This Row],[Docks]]*35)*(1+OFFSET(TblProd[[#This Row],[Bonus Food/hr]],-1,0)),0)</f>
        <v>151112</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1012</v>
      </c>
      <c r="T102" s="94">
        <f ca="1">ROUND(TblProd[[#This Row],[Raw Food/hr]]*(1+TblProd[[#This Row],[Bonus Food/hr]])-TblProd[[#This Row],[Food decay]]-TblProd[[#This Row],[Food eaten]],0)</f>
        <v>800</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1012.5000000000001</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1511.1200000000001</v>
      </c>
      <c r="AP102" s="94">
        <f ca="1">(1+race_food_consumption)*TblPop[[#This Row],[Total]]*food_per_person*(1+tech_1_10*TblTech[[#This Row],[1-10]]+tech_7_5*TblTech[[#This Row],[7-5]] + IF(TblMagic[[#This Row],[Active Infernal Command]]&gt;0,demonic_pact_food_cons,0))</f>
        <v>269</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46105.833333333096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198814</v>
      </c>
      <c r="BJ102" s="94">
        <f ca="1">TblProd[[#This Row],[Food]]</f>
        <v>151112</v>
      </c>
      <c r="BK102" s="94">
        <f ca="1">TblProd[[#This Row],[Lumber]]</f>
        <v>68254</v>
      </c>
      <c r="BL102" s="94">
        <f ca="1">TblProd[[#This Row],[Mana]]</f>
        <v>0</v>
      </c>
      <c r="BM102" s="94">
        <f ca="1">TblProd[[#This Row],[Ore]]</f>
        <v>0</v>
      </c>
    </row>
    <row r="103" spans="1:65" x14ac:dyDescent="0.2">
      <c r="A103" s="137">
        <f t="shared" si="0"/>
        <v>64</v>
      </c>
      <c r="B103" s="152">
        <f ca="1">TblImps[[#This Row],[Time]]</f>
        <v>46105.87499999976</v>
      </c>
      <c r="C103" s="153"/>
      <c r="D103" s="154"/>
      <c r="E103" s="94">
        <f ca="1">TblConstr[[#This Row],[Land]]</f>
        <v>110</v>
      </c>
      <c r="F103" s="94">
        <f ca="1">TblPop[[#This Row],[Peasants]]</f>
        <v>371</v>
      </c>
      <c r="G103" s="94">
        <f ca="1">TblMili[[#This Row],[Networth (2)]]</f>
        <v>2450</v>
      </c>
      <c r="H103" s="94">
        <f ca="1">OFFSET(TblProd[[#This Row],[Platinum]],-1,0)+OFFSET(TblProd[[#This Row],[Plat/hr]],-1,0) - TblProd[[#This Row],[Expenses Platinum]] + IF(TblProd[[#This Row],[Plat Bonus]],TblPop[[#This Row],[Peasants]]*4) + SUM(TblConstr[[#This Row],[Dest Hom]:[Dest Doc]])*TblConstr[[#This Row],[CPA Platinum -DB]]*tech_3_3_2*TblTech[[#This Row],[3-3]]</f>
        <v>199826</v>
      </c>
      <c r="I103" s="94">
        <f ca="1">OFFSET(TblProd[[#This Row],[Food]],-1,0)+OFFSET(TblProd[[#This Row],[Food/hr]],-1,0)+ROUNDUP((TblConstr[[#This Row],[Farms]]*80+TblConstr[[#This Row],[Docks]]*35)*(1+OFFSET(TblProd[[#This Row],[Bonus Food/hr]],-1,0)),0)</f>
        <v>151912</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1001</v>
      </c>
      <c r="T103" s="94">
        <f ca="1">ROUND(TblProd[[#This Row],[Raw Food/hr]]*(1+TblProd[[#This Row],[Bonus Food/hr]])-TblProd[[#This Row],[Food decay]]-TblProd[[#This Row],[Food eaten]],0)</f>
        <v>792</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1001.7</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1519.1200000000001</v>
      </c>
      <c r="AP103" s="94">
        <f ca="1">(1+race_food_consumption)*TblPop[[#This Row],[Total]]*food_per_person*(1+tech_1_10*TblTech[[#This Row],[1-10]]+tech_7_5*TblTech[[#This Row],[7-5]] + IF(TblMagic[[#This Row],[Active Infernal Command]]&gt;0,demonic_pact_food_cons,0))</f>
        <v>269</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46105.87499999976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199826</v>
      </c>
      <c r="BJ103" s="94">
        <f ca="1">TblProd[[#This Row],[Food]]</f>
        <v>151912</v>
      </c>
      <c r="BK103" s="94">
        <f ca="1">TblProd[[#This Row],[Lumber]]</f>
        <v>68571</v>
      </c>
      <c r="BL103" s="94">
        <f ca="1">TblProd[[#This Row],[Mana]]</f>
        <v>0</v>
      </c>
      <c r="BM103" s="94">
        <f ca="1">TblProd[[#This Row],[Ore]]</f>
        <v>0</v>
      </c>
    </row>
    <row r="104" spans="1:65" x14ac:dyDescent="0.2">
      <c r="A104" s="137">
        <f t="shared" si="0"/>
        <v>65</v>
      </c>
      <c r="B104" s="152">
        <f ca="1">TblImps[[#This Row],[Time]]</f>
        <v>46105.916666666424</v>
      </c>
      <c r="C104" s="153"/>
      <c r="D104" s="154"/>
      <c r="E104" s="94">
        <f ca="1">TblConstr[[#This Row],[Land]]</f>
        <v>110</v>
      </c>
      <c r="F104" s="94">
        <f ca="1">TblPop[[#This Row],[Peasants]]</f>
        <v>367</v>
      </c>
      <c r="G104" s="94">
        <f ca="1">TblMili[[#This Row],[Networth (2)]]</f>
        <v>2450</v>
      </c>
      <c r="H104" s="94">
        <f ca="1">OFFSET(TblProd[[#This Row],[Platinum]],-1,0)+OFFSET(TblProd[[#This Row],[Plat/hr]],-1,0) - TblProd[[#This Row],[Expenses Platinum]] + IF(TblProd[[#This Row],[Plat Bonus]],TblPop[[#This Row],[Peasants]]*4) + SUM(TblConstr[[#This Row],[Dest Hom]:[Dest Doc]])*TblConstr[[#This Row],[CPA Platinum -DB]]*tech_3_3_2*TblTech[[#This Row],[3-3]]</f>
        <v>200827</v>
      </c>
      <c r="I104" s="94">
        <f ca="1">OFFSET(TblProd[[#This Row],[Food]],-1,0)+OFFSET(TblProd[[#This Row],[Food/hr]],-1,0)+ROUNDUP((TblConstr[[#This Row],[Farms]]*80+TblConstr[[#This Row],[Docks]]*35)*(1+OFFSET(TblProd[[#This Row],[Bonus Food/hr]],-1,0)),0)</f>
        <v>152704</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990</v>
      </c>
      <c r="T104" s="94">
        <f ca="1">ROUND(TblProd[[#This Row],[Raw Food/hr]]*(1+TblProd[[#This Row],[Bonus Food/hr]])-TblProd[[#This Row],[Food decay]]-TblProd[[#This Row],[Food eaten]],0)</f>
        <v>784</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990.90000000000009</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1527.04</v>
      </c>
      <c r="AP104" s="94">
        <f ca="1">(1+race_food_consumption)*TblPop[[#This Row],[Total]]*food_per_person*(1+tech_1_10*TblTech[[#This Row],[1-10]]+tech_7_5*TblTech[[#This Row],[7-5]] + IF(TblMagic[[#This Row],[Active Infernal Command]]&gt;0,demonic_pact_food_cons,0))</f>
        <v>269</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46105.916666666424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200827</v>
      </c>
      <c r="BJ104" s="94">
        <f ca="1">TblProd[[#This Row],[Food]]</f>
        <v>152704</v>
      </c>
      <c r="BK104" s="94">
        <f ca="1">TblProd[[#This Row],[Lumber]]</f>
        <v>68885</v>
      </c>
      <c r="BL104" s="94">
        <f ca="1">TblProd[[#This Row],[Mana]]</f>
        <v>0</v>
      </c>
      <c r="BM104" s="94">
        <f ca="1">TblProd[[#This Row],[Ore]]</f>
        <v>0</v>
      </c>
    </row>
    <row r="105" spans="1:65" x14ac:dyDescent="0.2">
      <c r="A105" s="137">
        <f t="shared" si="0"/>
        <v>66</v>
      </c>
      <c r="B105" s="152">
        <f ca="1">TblImps[[#This Row],[Time]]</f>
        <v>46105.958333333088</v>
      </c>
      <c r="C105" s="153"/>
      <c r="D105" s="154"/>
      <c r="E105" s="94">
        <f ca="1">TblConstr[[#This Row],[Land]]</f>
        <v>110</v>
      </c>
      <c r="F105" s="94">
        <f ca="1">TblPop[[#This Row],[Peasants]]</f>
        <v>363</v>
      </c>
      <c r="G105" s="94">
        <f ca="1">TblMili[[#This Row],[Networth (2)]]</f>
        <v>2450</v>
      </c>
      <c r="H105" s="94">
        <f ca="1">OFFSET(TblProd[[#This Row],[Platinum]],-1,0)+OFFSET(TblProd[[#This Row],[Plat/hr]],-1,0) - TblProd[[#This Row],[Expenses Platinum]] + IF(TblProd[[#This Row],[Plat Bonus]],TblPop[[#This Row],[Peasants]]*4) + SUM(TblConstr[[#This Row],[Dest Hom]:[Dest Doc]])*TblConstr[[#This Row],[CPA Platinum -DB]]*tech_3_3_2*TblTech[[#This Row],[3-3]]</f>
        <v>201817</v>
      </c>
      <c r="I105" s="94">
        <f ca="1">OFFSET(TblProd[[#This Row],[Food]],-1,0)+OFFSET(TblProd[[#This Row],[Food/hr]],-1,0)+ROUNDUP((TblConstr[[#This Row],[Farms]]*80+TblConstr[[#This Row],[Docks]]*35)*(1+OFFSET(TblProd[[#This Row],[Bonus Food/hr]],-1,0)),0)</f>
        <v>153488</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980</v>
      </c>
      <c r="T105" s="94">
        <f ca="1">ROUND(TblProd[[#This Row],[Raw Food/hr]]*(1+TblProd[[#This Row],[Bonus Food/hr]])-TblProd[[#This Row],[Food decay]]-TblProd[[#This Row],[Food eaten]],0)</f>
        <v>776</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980.1</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1534.88</v>
      </c>
      <c r="AP105" s="94">
        <f ca="1">(1+race_food_consumption)*TblPop[[#This Row],[Total]]*food_per_person*(1+tech_1_10*TblTech[[#This Row],[1-10]]+tech_7_5*TblTech[[#This Row],[7-5]] + IF(TblMagic[[#This Row],[Active Infernal Command]]&gt;0,demonic_pact_food_cons,0))</f>
        <v>269</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46105.958333333088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201817</v>
      </c>
      <c r="BJ105" s="94">
        <f ca="1">TblProd[[#This Row],[Food]]</f>
        <v>153488</v>
      </c>
      <c r="BK105" s="94">
        <f ca="1">TblProd[[#This Row],[Lumber]]</f>
        <v>69196</v>
      </c>
      <c r="BL105" s="94">
        <f ca="1">TblProd[[#This Row],[Mana]]</f>
        <v>0</v>
      </c>
      <c r="BM105" s="94">
        <f ca="1">TblProd[[#This Row],[Ore]]</f>
        <v>0</v>
      </c>
    </row>
    <row r="106" spans="1:65" x14ac:dyDescent="0.2">
      <c r="A106" s="137">
        <f t="shared" si="0"/>
        <v>67</v>
      </c>
      <c r="B106" s="152">
        <f ca="1">TblImps[[#This Row],[Time]]</f>
        <v>46105.999999999753</v>
      </c>
      <c r="C106" s="153"/>
      <c r="D106" s="154"/>
      <c r="E106" s="94">
        <f ca="1">TblConstr[[#This Row],[Land]]</f>
        <v>110</v>
      </c>
      <c r="F106" s="94">
        <f ca="1">TblPop[[#This Row],[Peasants]]</f>
        <v>359</v>
      </c>
      <c r="G106" s="94">
        <f ca="1">TblMili[[#This Row],[Networth (2)]]</f>
        <v>2450</v>
      </c>
      <c r="H106" s="94">
        <f ca="1">OFFSET(TblProd[[#This Row],[Platinum]],-1,0)+OFFSET(TblProd[[#This Row],[Plat/hr]],-1,0) - TblProd[[#This Row],[Expenses Platinum]] + IF(TblProd[[#This Row],[Plat Bonus]],TblPop[[#This Row],[Peasants]]*4) + SUM(TblConstr[[#This Row],[Dest Hom]:[Dest Doc]])*TblConstr[[#This Row],[CPA Platinum -DB]]*tech_3_3_2*TblTech[[#This Row],[3-3]]</f>
        <v>202797</v>
      </c>
      <c r="I106" s="94">
        <f ca="1">OFFSET(TblProd[[#This Row],[Food]],-1,0)+OFFSET(TblProd[[#This Row],[Food/hr]],-1,0)+ROUNDUP((TblConstr[[#This Row],[Farms]]*80+TblConstr[[#This Row],[Docks]]*35)*(1+OFFSET(TblProd[[#This Row],[Bonus Food/hr]],-1,0)),0)</f>
        <v>154264</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969</v>
      </c>
      <c r="T106" s="94">
        <f ca="1">ROUND(TblProd[[#This Row],[Raw Food/hr]]*(1+TblProd[[#This Row],[Bonus Food/hr]])-TblProd[[#This Row],[Food decay]]-TblProd[[#This Row],[Food eaten]],0)</f>
        <v>768</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969.30000000000007</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1542.64</v>
      </c>
      <c r="AP106" s="94">
        <f ca="1">(1+race_food_consumption)*TblPop[[#This Row],[Total]]*food_per_person*(1+tech_1_10*TblTech[[#This Row],[1-10]]+tech_7_5*TblTech[[#This Row],[7-5]] + IF(TblMagic[[#This Row],[Active Infernal Command]]&gt;0,demonic_pact_food_cons,0))</f>
        <v>269</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46105.999999999753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202797</v>
      </c>
      <c r="BJ106" s="94">
        <f ca="1">TblProd[[#This Row],[Food]]</f>
        <v>154264</v>
      </c>
      <c r="BK106" s="94">
        <f ca="1">TblProd[[#This Row],[Lumber]]</f>
        <v>69504</v>
      </c>
      <c r="BL106" s="94">
        <f ca="1">TblProd[[#This Row],[Mana]]</f>
        <v>0</v>
      </c>
      <c r="BM106" s="94">
        <f ca="1">TblProd[[#This Row],[Ore]]</f>
        <v>0</v>
      </c>
    </row>
    <row r="107" spans="1:65" x14ac:dyDescent="0.2">
      <c r="A107" s="137">
        <f t="shared" ref="A107:A136" si="1">A106+1</f>
        <v>68</v>
      </c>
      <c r="B107" s="152">
        <f ca="1">TblImps[[#This Row],[Time]]</f>
        <v>46106.041666666417</v>
      </c>
      <c r="C107" s="153"/>
      <c r="D107" s="154"/>
      <c r="E107" s="94">
        <f ca="1">TblConstr[[#This Row],[Land]]</f>
        <v>110</v>
      </c>
      <c r="F107" s="94">
        <f ca="1">TblPop[[#This Row],[Peasants]]</f>
        <v>355</v>
      </c>
      <c r="G107" s="94">
        <f ca="1">TblMili[[#This Row],[Networth (2)]]</f>
        <v>2450</v>
      </c>
      <c r="H107" s="94">
        <f ca="1">OFFSET(TblProd[[#This Row],[Platinum]],-1,0)+OFFSET(TblProd[[#This Row],[Plat/hr]],-1,0) - TblProd[[#This Row],[Expenses Platinum]] + IF(TblProd[[#This Row],[Plat Bonus]],TblPop[[#This Row],[Peasants]]*4) + SUM(TblConstr[[#This Row],[Dest Hom]:[Dest Doc]])*TblConstr[[#This Row],[CPA Platinum -DB]]*tech_3_3_2*TblTech[[#This Row],[3-3]]</f>
        <v>203766</v>
      </c>
      <c r="I107" s="94">
        <f ca="1">OFFSET(TblProd[[#This Row],[Food]],-1,0)+OFFSET(TblProd[[#This Row],[Food/hr]],-1,0)+ROUNDUP((TblConstr[[#This Row],[Farms]]*80+TblConstr[[#This Row],[Docks]]*35)*(1+OFFSET(TblProd[[#This Row],[Bonus Food/hr]],-1,0)),0)</f>
        <v>155032</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958</v>
      </c>
      <c r="T107" s="94">
        <f ca="1">ROUND(TblProd[[#This Row],[Raw Food/hr]]*(1+TblProd[[#This Row],[Bonus Food/hr]])-TblProd[[#This Row],[Food decay]]-TblProd[[#This Row],[Food eaten]],0)</f>
        <v>761</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958.50000000000011</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1550.32</v>
      </c>
      <c r="AP107" s="94">
        <f ca="1">(1+race_food_consumption)*TblPop[[#This Row],[Total]]*food_per_person*(1+tech_1_10*TblTech[[#This Row],[1-10]]+tech_7_5*TblTech[[#This Row],[7-5]] + IF(TblMagic[[#This Row],[Active Infernal Command]]&gt;0,demonic_pact_food_cons,0))</f>
        <v>269</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46106.041666666417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203766</v>
      </c>
      <c r="BJ107" s="94">
        <f ca="1">TblProd[[#This Row],[Food]]</f>
        <v>155032</v>
      </c>
      <c r="BK107" s="94">
        <f ca="1">TblProd[[#This Row],[Lumber]]</f>
        <v>69809</v>
      </c>
      <c r="BL107" s="94">
        <f ca="1">TblProd[[#This Row],[Mana]]</f>
        <v>0</v>
      </c>
      <c r="BM107" s="94">
        <f ca="1">TblProd[[#This Row],[Ore]]</f>
        <v>0</v>
      </c>
    </row>
    <row r="108" spans="1:65" x14ac:dyDescent="0.2">
      <c r="A108" s="137">
        <f t="shared" si="1"/>
        <v>69</v>
      </c>
      <c r="B108" s="152">
        <f ca="1">TblImps[[#This Row],[Time]]</f>
        <v>46106.083333333081</v>
      </c>
      <c r="C108" s="153"/>
      <c r="D108" s="154"/>
      <c r="E108" s="94">
        <f ca="1">TblConstr[[#This Row],[Land]]</f>
        <v>110</v>
      </c>
      <c r="F108" s="94">
        <f ca="1">TblPop[[#This Row],[Peasants]]</f>
        <v>351</v>
      </c>
      <c r="G108" s="94">
        <f ca="1">TblMili[[#This Row],[Networth (2)]]</f>
        <v>2450</v>
      </c>
      <c r="H108" s="94">
        <f ca="1">OFFSET(TblProd[[#This Row],[Platinum]],-1,0)+OFFSET(TblProd[[#This Row],[Plat/hr]],-1,0) - TblProd[[#This Row],[Expenses Platinum]] + IF(TblProd[[#This Row],[Plat Bonus]],TblPop[[#This Row],[Peasants]]*4) + SUM(TblConstr[[#This Row],[Dest Hom]:[Dest Doc]])*TblConstr[[#This Row],[CPA Platinum -DB]]*tech_3_3_2*TblTech[[#This Row],[3-3]]</f>
        <v>204724</v>
      </c>
      <c r="I108" s="94">
        <f ca="1">OFFSET(TblProd[[#This Row],[Food]],-1,0)+OFFSET(TblProd[[#This Row],[Food/hr]],-1,0)+ROUNDUP((TblConstr[[#This Row],[Farms]]*80+TblConstr[[#This Row],[Docks]]*35)*(1+OFFSET(TblProd[[#This Row],[Bonus Food/hr]],-1,0)),0)</f>
        <v>155793</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947</v>
      </c>
      <c r="T108" s="94">
        <f ca="1">ROUND(TblProd[[#This Row],[Raw Food/hr]]*(1+TblProd[[#This Row],[Bonus Food/hr]])-TblProd[[#This Row],[Food decay]]-TblProd[[#This Row],[Food eaten]],0)</f>
        <v>753</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947.7</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1557.93</v>
      </c>
      <c r="AP108" s="94">
        <f ca="1">(1+race_food_consumption)*TblPop[[#This Row],[Total]]*food_per_person*(1+tech_1_10*TblTech[[#This Row],[1-10]]+tech_7_5*TblTech[[#This Row],[7-5]] + IF(TblMagic[[#This Row],[Active Infernal Command]]&gt;0,demonic_pact_food_cons,0))</f>
        <v>269</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46106.083333333081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204724</v>
      </c>
      <c r="BJ108" s="94">
        <f ca="1">TblProd[[#This Row],[Food]]</f>
        <v>155793</v>
      </c>
      <c r="BK108" s="94">
        <f ca="1">TblProd[[#This Row],[Lumber]]</f>
        <v>70111</v>
      </c>
      <c r="BL108" s="94">
        <f ca="1">TblProd[[#This Row],[Mana]]</f>
        <v>0</v>
      </c>
      <c r="BM108" s="94">
        <f ca="1">TblProd[[#This Row],[Ore]]</f>
        <v>0</v>
      </c>
    </row>
    <row r="109" spans="1:65" x14ac:dyDescent="0.2">
      <c r="A109" s="137">
        <f t="shared" si="1"/>
        <v>70</v>
      </c>
      <c r="B109" s="152">
        <f ca="1">TblImps[[#This Row],[Time]]</f>
        <v>46106.124999999745</v>
      </c>
      <c r="C109" s="153"/>
      <c r="D109" s="154"/>
      <c r="E109" s="94">
        <f ca="1">TblConstr[[#This Row],[Land]]</f>
        <v>110</v>
      </c>
      <c r="F109" s="94">
        <f ca="1">TblPop[[#This Row],[Peasants]]</f>
        <v>347</v>
      </c>
      <c r="G109" s="94">
        <f ca="1">TblMili[[#This Row],[Networth (2)]]</f>
        <v>2450</v>
      </c>
      <c r="H109" s="94">
        <f ca="1">OFFSET(TblProd[[#This Row],[Platinum]],-1,0)+OFFSET(TblProd[[#This Row],[Plat/hr]],-1,0) - TblProd[[#This Row],[Expenses Platinum]] + IF(TblProd[[#This Row],[Plat Bonus]],TblPop[[#This Row],[Peasants]]*4) + SUM(TblConstr[[#This Row],[Dest Hom]:[Dest Doc]])*TblConstr[[#This Row],[CPA Platinum -DB]]*tech_3_3_2*TblTech[[#This Row],[3-3]]</f>
        <v>205671</v>
      </c>
      <c r="I109" s="94">
        <f ca="1">OFFSET(TblProd[[#This Row],[Food]],-1,0)+OFFSET(TblProd[[#This Row],[Food/hr]],-1,0)+ROUNDUP((TblConstr[[#This Row],[Farms]]*80+TblConstr[[#This Row],[Docks]]*35)*(1+OFFSET(TblProd[[#This Row],[Bonus Food/hr]],-1,0)),0)</f>
        <v>156546</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936</v>
      </c>
      <c r="T109" s="94">
        <f ca="1">ROUND(TblProd[[#This Row],[Raw Food/hr]]*(1+TblProd[[#This Row],[Bonus Food/hr]])-TblProd[[#This Row],[Food decay]]-TblProd[[#This Row],[Food eaten]],0)</f>
        <v>746</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936.90000000000009</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1565.46</v>
      </c>
      <c r="AP109" s="94">
        <f ca="1">(1+race_food_consumption)*TblPop[[#This Row],[Total]]*food_per_person*(1+tech_1_10*TblTech[[#This Row],[1-10]]+tech_7_5*TblTech[[#This Row],[7-5]] + IF(TblMagic[[#This Row],[Active Infernal Command]]&gt;0,demonic_pact_food_cons,0))</f>
        <v>269</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46106.124999999745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205671</v>
      </c>
      <c r="BJ109" s="94">
        <f ca="1">TblProd[[#This Row],[Food]]</f>
        <v>156546</v>
      </c>
      <c r="BK109" s="94">
        <f ca="1">TblProd[[#This Row],[Lumber]]</f>
        <v>70410</v>
      </c>
      <c r="BL109" s="94">
        <f ca="1">TblProd[[#This Row],[Mana]]</f>
        <v>0</v>
      </c>
      <c r="BM109" s="94">
        <f ca="1">TblProd[[#This Row],[Ore]]</f>
        <v>0</v>
      </c>
    </row>
    <row r="110" spans="1:65" x14ac:dyDescent="0.2">
      <c r="A110" s="137">
        <f t="shared" si="1"/>
        <v>71</v>
      </c>
      <c r="B110" s="152">
        <f ca="1">TblImps[[#This Row],[Time]]</f>
        <v>46106.16666666641</v>
      </c>
      <c r="C110" s="153"/>
      <c r="D110" s="154"/>
      <c r="E110" s="94">
        <f ca="1">TblConstr[[#This Row],[Land]]</f>
        <v>110</v>
      </c>
      <c r="F110" s="94">
        <f ca="1">TblPop[[#This Row],[Peasants]]</f>
        <v>344</v>
      </c>
      <c r="G110" s="94">
        <f ca="1">TblMili[[#This Row],[Networth (2)]]</f>
        <v>2450</v>
      </c>
      <c r="H110" s="94">
        <f ca="1">OFFSET(TblProd[[#This Row],[Platinum]],-1,0)+OFFSET(TblProd[[#This Row],[Plat/hr]],-1,0) - TblProd[[#This Row],[Expenses Platinum]] + IF(TblProd[[#This Row],[Plat Bonus]],TblPop[[#This Row],[Peasants]]*4) + SUM(TblConstr[[#This Row],[Dest Hom]:[Dest Doc]])*TblConstr[[#This Row],[CPA Platinum -DB]]*tech_3_3_2*TblTech[[#This Row],[3-3]]</f>
        <v>206607</v>
      </c>
      <c r="I110" s="94">
        <f ca="1">OFFSET(TblProd[[#This Row],[Food]],-1,0)+OFFSET(TblProd[[#This Row],[Food/hr]],-1,0)+ROUNDUP((TblConstr[[#This Row],[Farms]]*80+TblConstr[[#This Row],[Docks]]*35)*(1+OFFSET(TblProd[[#This Row],[Bonus Food/hr]],-1,0)),0)</f>
        <v>157292</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928</v>
      </c>
      <c r="T110" s="94">
        <f ca="1">ROUND(TblProd[[#This Row],[Raw Food/hr]]*(1+TblProd[[#This Row],[Bonus Food/hr]])-TblProd[[#This Row],[Food decay]]-TblProd[[#This Row],[Food eaten]],0)</f>
        <v>738</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928.80000000000007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1572.92</v>
      </c>
      <c r="AP110" s="94">
        <f ca="1">(1+race_food_consumption)*TblPop[[#This Row],[Total]]*food_per_person*(1+tech_1_10*TblTech[[#This Row],[1-10]]+tech_7_5*TblTech[[#This Row],[7-5]] + IF(TblMagic[[#This Row],[Active Infernal Command]]&gt;0,demonic_pact_food_cons,0))</f>
        <v>269</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46106.16666666641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206607</v>
      </c>
      <c r="BJ110" s="94">
        <f ca="1">TblProd[[#This Row],[Food]]</f>
        <v>157292</v>
      </c>
      <c r="BK110" s="94">
        <f ca="1">TblProd[[#This Row],[Lumber]]</f>
        <v>70706</v>
      </c>
      <c r="BL110" s="94">
        <f ca="1">TblProd[[#This Row],[Mana]]</f>
        <v>0</v>
      </c>
      <c r="BM110" s="94">
        <f ca="1">TblProd[[#This Row],[Ore]]</f>
        <v>0</v>
      </c>
    </row>
    <row r="111" spans="1:65" x14ac:dyDescent="0.2">
      <c r="A111" s="137">
        <f t="shared" si="1"/>
        <v>72</v>
      </c>
      <c r="B111" s="152">
        <f ca="1">TblImps[[#This Row],[Time]]</f>
        <v>46106.208333333074</v>
      </c>
      <c r="C111" s="153"/>
      <c r="D111" s="154"/>
      <c r="E111" s="94">
        <f ca="1">TblConstr[[#This Row],[Land]]</f>
        <v>110</v>
      </c>
      <c r="F111" s="94">
        <f ca="1">TblPop[[#This Row],[Peasants]]</f>
        <v>341</v>
      </c>
      <c r="G111" s="94">
        <f ca="1">TblMili[[#This Row],[Networth (2)]]</f>
        <v>2450</v>
      </c>
      <c r="H111" s="94">
        <f ca="1">OFFSET(TblProd[[#This Row],[Platinum]],-1,0)+OFFSET(TblProd[[#This Row],[Plat/hr]],-1,0) - TblProd[[#This Row],[Expenses Platinum]] + IF(TblProd[[#This Row],[Plat Bonus]],TblPop[[#This Row],[Peasants]]*4) + SUM(TblConstr[[#This Row],[Dest Hom]:[Dest Doc]])*TblConstr[[#This Row],[CPA Platinum -DB]]*tech_3_3_2*TblTech[[#This Row],[3-3]]</f>
        <v>207535</v>
      </c>
      <c r="I111" s="94">
        <f ca="1">OFFSET(TblProd[[#This Row],[Food]],-1,0)+OFFSET(TblProd[[#This Row],[Food/hr]],-1,0)+ROUNDUP((TblConstr[[#This Row],[Farms]]*80+TblConstr[[#This Row],[Docks]]*35)*(1+OFFSET(TblProd[[#This Row],[Bonus Food/hr]],-1,0)),0)</f>
        <v>158030</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920</v>
      </c>
      <c r="T111" s="94">
        <f ca="1">ROUND(TblProd[[#This Row],[Raw Food/hr]]*(1+TblProd[[#This Row],[Bonus Food/hr]])-TblProd[[#This Row],[Food decay]]-TblProd[[#This Row],[Food eaten]],0)</f>
        <v>731</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920.7</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1580.3</v>
      </c>
      <c r="AP111" s="94">
        <f ca="1">(1+race_food_consumption)*TblPop[[#This Row],[Total]]*food_per_person*(1+tech_1_10*TblTech[[#This Row],[1-10]]+tech_7_5*TblTech[[#This Row],[7-5]] + IF(TblMagic[[#This Row],[Active Infernal Command]]&gt;0,demonic_pact_food_cons,0))</f>
        <v>269</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46106.208333333074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207535</v>
      </c>
      <c r="BJ111" s="94">
        <f ca="1">TblProd[[#This Row],[Food]]</f>
        <v>158030</v>
      </c>
      <c r="BK111" s="94">
        <f ca="1">TblProd[[#This Row],[Lumber]]</f>
        <v>70999</v>
      </c>
      <c r="BL111" s="94">
        <f ca="1">TblProd[[#This Row],[Mana]]</f>
        <v>0</v>
      </c>
      <c r="BM111" s="94">
        <f ca="1">TblProd[[#This Row],[Ore]]</f>
        <v>0</v>
      </c>
    </row>
    <row r="112" spans="1:65" x14ac:dyDescent="0.2">
      <c r="A112" s="137">
        <f t="shared" si="1"/>
        <v>73</v>
      </c>
      <c r="B112" s="152">
        <f ca="1">TblImps[[#This Row],[Time]]</f>
        <v>46106.249999999738</v>
      </c>
      <c r="C112" s="153"/>
      <c r="D112" s="154"/>
      <c r="E112" s="94">
        <f ca="1">TblConstr[[#This Row],[Land]]</f>
        <v>110</v>
      </c>
      <c r="F112" s="94">
        <f ca="1">TblPop[[#This Row],[Peasants]]</f>
        <v>338</v>
      </c>
      <c r="G112" s="94">
        <f ca="1">TblMili[[#This Row],[Networth (2)]]</f>
        <v>2450</v>
      </c>
      <c r="H112" s="94">
        <f ca="1">OFFSET(TblProd[[#This Row],[Platinum]],-1,0)+OFFSET(TblProd[[#This Row],[Plat/hr]],-1,0) - TblProd[[#This Row],[Expenses Platinum]] + IF(TblProd[[#This Row],[Plat Bonus]],TblPop[[#This Row],[Peasants]]*4) + SUM(TblConstr[[#This Row],[Dest Hom]:[Dest Doc]])*TblConstr[[#This Row],[CPA Platinum -DB]]*tech_3_3_2*TblTech[[#This Row],[3-3]]</f>
        <v>208455</v>
      </c>
      <c r="I112" s="94">
        <f ca="1">OFFSET(TblProd[[#This Row],[Food]],-1,0)+OFFSET(TblProd[[#This Row],[Food/hr]],-1,0)+ROUNDUP((TblConstr[[#This Row],[Farms]]*80+TblConstr[[#This Row],[Docks]]*35)*(1+OFFSET(TblProd[[#This Row],[Bonus Food/hr]],-1,0)),0)</f>
        <v>158761</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912</v>
      </c>
      <c r="T112" s="94">
        <f ca="1">ROUND(TblProd[[#This Row],[Raw Food/hr]]*(1+TblProd[[#This Row],[Bonus Food/hr]])-TblProd[[#This Row],[Food decay]]-TblProd[[#This Row],[Food eaten]],0)</f>
        <v>723</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912.6</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1587.6100000000001</v>
      </c>
      <c r="AP112" s="94">
        <f ca="1">(1+race_food_consumption)*TblPop[[#This Row],[Total]]*food_per_person*(1+tech_1_10*TblTech[[#This Row],[1-10]]+tech_7_5*TblTech[[#This Row],[7-5]] + IF(TblMagic[[#This Row],[Active Infernal Command]]&gt;0,demonic_pact_food_cons,0))</f>
        <v>269</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46106.249999999738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208455</v>
      </c>
      <c r="BJ112" s="94">
        <f ca="1">TblProd[[#This Row],[Food]]</f>
        <v>158761</v>
      </c>
      <c r="BK112" s="94">
        <f ca="1">TblProd[[#This Row],[Lumber]]</f>
        <v>71289</v>
      </c>
      <c r="BL112" s="94">
        <f ca="1">TblProd[[#This Row],[Mana]]</f>
        <v>0</v>
      </c>
      <c r="BM112" s="94">
        <f ca="1">TblProd[[#This Row],[Ore]]</f>
        <v>0</v>
      </c>
    </row>
    <row r="113" spans="1:65" x14ac:dyDescent="0.2">
      <c r="A113" s="137">
        <f t="shared" si="1"/>
        <v>74</v>
      </c>
      <c r="B113" s="152">
        <f ca="1">TblImps[[#This Row],[Time]]</f>
        <v>46106.291666666402</v>
      </c>
      <c r="C113" s="153"/>
      <c r="D113" s="154"/>
      <c r="E113" s="94">
        <f ca="1">TblConstr[[#This Row],[Land]]</f>
        <v>110</v>
      </c>
      <c r="F113" s="94">
        <f ca="1">TblPop[[#This Row],[Peasants]]</f>
        <v>335</v>
      </c>
      <c r="G113" s="94">
        <f ca="1">TblMili[[#This Row],[Networth (2)]]</f>
        <v>2450</v>
      </c>
      <c r="H113" s="94">
        <f ca="1">OFFSET(TblProd[[#This Row],[Platinum]],-1,0)+OFFSET(TblProd[[#This Row],[Plat/hr]],-1,0) - TblProd[[#This Row],[Expenses Platinum]] + IF(TblProd[[#This Row],[Plat Bonus]],TblPop[[#This Row],[Peasants]]*4) + SUM(TblConstr[[#This Row],[Dest Hom]:[Dest Doc]])*TblConstr[[#This Row],[CPA Platinum -DB]]*tech_3_3_2*TblTech[[#This Row],[3-3]]</f>
        <v>209367</v>
      </c>
      <c r="I113" s="94">
        <f ca="1">OFFSET(TblProd[[#This Row],[Food]],-1,0)+OFFSET(TblProd[[#This Row],[Food/hr]],-1,0)+ROUNDUP((TblConstr[[#This Row],[Farms]]*80+TblConstr[[#This Row],[Docks]]*35)*(1+OFFSET(TblProd[[#This Row],[Bonus Food/hr]],-1,0)),0)</f>
        <v>159484</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904</v>
      </c>
      <c r="T113" s="94">
        <f ca="1">ROUND(TblProd[[#This Row],[Raw Food/hr]]*(1+TblProd[[#This Row],[Bonus Food/hr]])-TblProd[[#This Row],[Food decay]]-TblProd[[#This Row],[Food eaten]],0)</f>
        <v>716</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904.50000000000011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1594.8400000000001</v>
      </c>
      <c r="AP113" s="94">
        <f ca="1">(1+race_food_consumption)*TblPop[[#This Row],[Total]]*food_per_person*(1+tech_1_10*TblTech[[#This Row],[1-10]]+tech_7_5*TblTech[[#This Row],[7-5]] + IF(TblMagic[[#This Row],[Active Infernal Command]]&gt;0,demonic_pact_food_cons,0))</f>
        <v>269</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46106.291666666402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209367</v>
      </c>
      <c r="BJ113" s="94">
        <f ca="1">TblProd[[#This Row],[Food]]</f>
        <v>159484</v>
      </c>
      <c r="BK113" s="94">
        <f ca="1">TblProd[[#This Row],[Lumber]]</f>
        <v>71576</v>
      </c>
      <c r="BL113" s="94">
        <f ca="1">TblProd[[#This Row],[Mana]]</f>
        <v>0</v>
      </c>
      <c r="BM113" s="94">
        <f ca="1">TblProd[[#This Row],[Ore]]</f>
        <v>0</v>
      </c>
    </row>
    <row r="114" spans="1:65" x14ac:dyDescent="0.2">
      <c r="A114" s="137">
        <f t="shared" si="1"/>
        <v>75</v>
      </c>
      <c r="B114" s="152">
        <f ca="1">TblImps[[#This Row],[Time]]</f>
        <v>46106.333333333067</v>
      </c>
      <c r="C114" s="153"/>
      <c r="D114" s="154"/>
      <c r="E114" s="94">
        <f ca="1">TblConstr[[#This Row],[Land]]</f>
        <v>110</v>
      </c>
      <c r="F114" s="94">
        <f ca="1">TblPop[[#This Row],[Peasants]]</f>
        <v>332</v>
      </c>
      <c r="G114" s="94">
        <f ca="1">TblMili[[#This Row],[Networth (2)]]</f>
        <v>2450</v>
      </c>
      <c r="H114" s="94">
        <f ca="1">OFFSET(TblProd[[#This Row],[Platinum]],-1,0)+OFFSET(TblProd[[#This Row],[Plat/hr]],-1,0) - TblProd[[#This Row],[Expenses Platinum]] + IF(TblProd[[#This Row],[Plat Bonus]],TblPop[[#This Row],[Peasants]]*4) + SUM(TblConstr[[#This Row],[Dest Hom]:[Dest Doc]])*TblConstr[[#This Row],[CPA Platinum -DB]]*tech_3_3_2*TblTech[[#This Row],[3-3]]</f>
        <v>210271</v>
      </c>
      <c r="I114" s="94">
        <f ca="1">OFFSET(TblProd[[#This Row],[Food]],-1,0)+OFFSET(TblProd[[#This Row],[Food/hr]],-1,0)+ROUNDUP((TblConstr[[#This Row],[Farms]]*80+TblConstr[[#This Row],[Docks]]*35)*(1+OFFSET(TblProd[[#This Row],[Bonus Food/hr]],-1,0)),0)</f>
        <v>160200</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896</v>
      </c>
      <c r="T114" s="94">
        <f ca="1">ROUND(TblProd[[#This Row],[Raw Food/hr]]*(1+TblProd[[#This Row],[Bonus Food/hr]])-TblProd[[#This Row],[Food decay]]-TblProd[[#This Row],[Food eaten]],0)</f>
        <v>709</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896.40000000000009</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1602</v>
      </c>
      <c r="AP114" s="94">
        <f ca="1">(1+race_food_consumption)*TblPop[[#This Row],[Total]]*food_per_person*(1+tech_1_10*TblTech[[#This Row],[1-10]]+tech_7_5*TblTech[[#This Row],[7-5]] + IF(TblMagic[[#This Row],[Active Infernal Command]]&gt;0,demonic_pact_food_cons,0))</f>
        <v>269</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46106.333333333067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210271</v>
      </c>
      <c r="BJ114" s="94">
        <f ca="1">TblProd[[#This Row],[Food]]</f>
        <v>160200</v>
      </c>
      <c r="BK114" s="94">
        <f ca="1">TblProd[[#This Row],[Lumber]]</f>
        <v>71860</v>
      </c>
      <c r="BL114" s="94">
        <f ca="1">TblProd[[#This Row],[Mana]]</f>
        <v>0</v>
      </c>
      <c r="BM114" s="94">
        <f ca="1">TblProd[[#This Row],[Ore]]</f>
        <v>0</v>
      </c>
    </row>
    <row r="115" spans="1:65" x14ac:dyDescent="0.2">
      <c r="A115" s="137">
        <f t="shared" si="1"/>
        <v>76</v>
      </c>
      <c r="B115" s="152">
        <f ca="1">TblImps[[#This Row],[Time]]</f>
        <v>46106.374999999731</v>
      </c>
      <c r="C115" s="153"/>
      <c r="D115" s="154"/>
      <c r="E115" s="94">
        <f ca="1">TblConstr[[#This Row],[Land]]</f>
        <v>110</v>
      </c>
      <c r="F115" s="94">
        <f ca="1">TblPop[[#This Row],[Peasants]]</f>
        <v>329</v>
      </c>
      <c r="G115" s="94">
        <f ca="1">TblMili[[#This Row],[Networth (2)]]</f>
        <v>2450</v>
      </c>
      <c r="H115" s="94">
        <f ca="1">OFFSET(TblProd[[#This Row],[Platinum]],-1,0)+OFFSET(TblProd[[#This Row],[Plat/hr]],-1,0) - TblProd[[#This Row],[Expenses Platinum]] + IF(TblProd[[#This Row],[Plat Bonus]],TblPop[[#This Row],[Peasants]]*4) + SUM(TblConstr[[#This Row],[Dest Hom]:[Dest Doc]])*TblConstr[[#This Row],[CPA Platinum -DB]]*tech_3_3_2*TblTech[[#This Row],[3-3]]</f>
        <v>211167</v>
      </c>
      <c r="I115" s="94">
        <f ca="1">OFFSET(TblProd[[#This Row],[Food]],-1,0)+OFFSET(TblProd[[#This Row],[Food/hr]],-1,0)+ROUNDUP((TblConstr[[#This Row],[Farms]]*80+TblConstr[[#This Row],[Docks]]*35)*(1+OFFSET(TblProd[[#This Row],[Bonus Food/hr]],-1,0)),0)</f>
        <v>160909</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888</v>
      </c>
      <c r="T115" s="94">
        <f ca="1">ROUND(TblProd[[#This Row],[Raw Food/hr]]*(1+TblProd[[#This Row],[Bonus Food/hr]])-TblProd[[#This Row],[Food decay]]-TblProd[[#This Row],[Food eaten]],0)</f>
        <v>702</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888.30000000000007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1609.0900000000001</v>
      </c>
      <c r="AP115" s="94">
        <f ca="1">(1+race_food_consumption)*TblPop[[#This Row],[Total]]*food_per_person*(1+tech_1_10*TblTech[[#This Row],[1-10]]+tech_7_5*TblTech[[#This Row],[7-5]] + IF(TblMagic[[#This Row],[Active Infernal Command]]&gt;0,demonic_pact_food_cons,0))</f>
        <v>269</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46106.374999999731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211167</v>
      </c>
      <c r="BJ115" s="94">
        <f ca="1">TblProd[[#This Row],[Food]]</f>
        <v>160909</v>
      </c>
      <c r="BK115" s="94">
        <f ca="1">TblProd[[#This Row],[Lumber]]</f>
        <v>72141</v>
      </c>
      <c r="BL115" s="94">
        <f ca="1">TblProd[[#This Row],[Mana]]</f>
        <v>0</v>
      </c>
      <c r="BM115" s="94">
        <f ca="1">TblProd[[#This Row],[Ore]]</f>
        <v>0</v>
      </c>
    </row>
    <row r="116" spans="1:65" x14ac:dyDescent="0.2">
      <c r="A116" s="137">
        <f t="shared" si="1"/>
        <v>77</v>
      </c>
      <c r="B116" s="152">
        <f ca="1">TblImps[[#This Row],[Time]]</f>
        <v>46106.416666666395</v>
      </c>
      <c r="C116" s="153"/>
      <c r="D116" s="154"/>
      <c r="E116" s="94">
        <f ca="1">TblConstr[[#This Row],[Land]]</f>
        <v>110</v>
      </c>
      <c r="F116" s="94">
        <f ca="1">TblPop[[#This Row],[Peasants]]</f>
        <v>326</v>
      </c>
      <c r="G116" s="94">
        <f ca="1">TblMili[[#This Row],[Networth (2)]]</f>
        <v>2450</v>
      </c>
      <c r="H116" s="94">
        <f ca="1">OFFSET(TblProd[[#This Row],[Platinum]],-1,0)+OFFSET(TblProd[[#This Row],[Plat/hr]],-1,0) - TblProd[[#This Row],[Expenses Platinum]] + IF(TblProd[[#This Row],[Plat Bonus]],TblPop[[#This Row],[Peasants]]*4) + SUM(TblConstr[[#This Row],[Dest Hom]:[Dest Doc]])*TblConstr[[#This Row],[CPA Platinum -DB]]*tech_3_3_2*TblTech[[#This Row],[3-3]]</f>
        <v>212055</v>
      </c>
      <c r="I116" s="94">
        <f ca="1">OFFSET(TblProd[[#This Row],[Food]],-1,0)+OFFSET(TblProd[[#This Row],[Food/hr]],-1,0)+ROUNDUP((TblConstr[[#This Row],[Farms]]*80+TblConstr[[#This Row],[Docks]]*35)*(1+OFFSET(TblProd[[#This Row],[Bonus Food/hr]],-1,0)),0)</f>
        <v>161611</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880</v>
      </c>
      <c r="T116" s="94">
        <f ca="1">ROUND(TblProd[[#This Row],[Raw Food/hr]]*(1+TblProd[[#This Row],[Bonus Food/hr]])-TblProd[[#This Row],[Food decay]]-TblProd[[#This Row],[Food eaten]],0)</f>
        <v>695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880.2</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1616.1100000000001</v>
      </c>
      <c r="AP116" s="94">
        <f ca="1">(1+race_food_consumption)*TblPop[[#This Row],[Total]]*food_per_person*(1+tech_1_10*TblTech[[#This Row],[1-10]]+tech_7_5*TblTech[[#This Row],[7-5]] + IF(TblMagic[[#This Row],[Active Infernal Command]]&gt;0,demonic_pact_food_cons,0))</f>
        <v>269</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46106.416666666395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212055</v>
      </c>
      <c r="BJ116" s="94">
        <f ca="1">TblProd[[#This Row],[Food]]</f>
        <v>161611</v>
      </c>
      <c r="BK116" s="94">
        <f ca="1">TblProd[[#This Row],[Lumber]]</f>
        <v>72420</v>
      </c>
      <c r="BL116" s="94">
        <f ca="1">TblProd[[#This Row],[Mana]]</f>
        <v>0</v>
      </c>
      <c r="BM116" s="94">
        <f ca="1">TblProd[[#This Row],[Ore]]</f>
        <v>0</v>
      </c>
    </row>
    <row r="117" spans="1:65" x14ac:dyDescent="0.2">
      <c r="A117" s="137">
        <f t="shared" si="1"/>
        <v>78</v>
      </c>
      <c r="B117" s="152">
        <f ca="1">TblImps[[#This Row],[Time]]</f>
        <v>46106.458333333059</v>
      </c>
      <c r="C117" s="153"/>
      <c r="D117" s="154"/>
      <c r="E117" s="94">
        <f ca="1">TblConstr[[#This Row],[Land]]</f>
        <v>110</v>
      </c>
      <c r="F117" s="94">
        <f ca="1">TblPop[[#This Row],[Peasants]]</f>
        <v>323</v>
      </c>
      <c r="G117" s="94">
        <f ca="1">TblMili[[#This Row],[Networth (2)]]</f>
        <v>2450</v>
      </c>
      <c r="H117" s="94">
        <f ca="1">OFFSET(TblProd[[#This Row],[Platinum]],-1,0)+OFFSET(TblProd[[#This Row],[Plat/hr]],-1,0) - TblProd[[#This Row],[Expenses Platinum]] + IF(TblProd[[#This Row],[Plat Bonus]],TblPop[[#This Row],[Peasants]]*4) + SUM(TblConstr[[#This Row],[Dest Hom]:[Dest Doc]])*TblConstr[[#This Row],[CPA Platinum -DB]]*tech_3_3_2*TblTech[[#This Row],[3-3]]</f>
        <v>212935</v>
      </c>
      <c r="I117" s="94">
        <f ca="1">OFFSET(TblProd[[#This Row],[Food]],-1,0)+OFFSET(TblProd[[#This Row],[Food/hr]],-1,0)+ROUNDUP((TblConstr[[#This Row],[Farms]]*80+TblConstr[[#This Row],[Docks]]*35)*(1+OFFSET(TblProd[[#This Row],[Bonus Food/hr]],-1,0)),0)</f>
        <v>162306</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872</v>
      </c>
      <c r="T117" s="94">
        <f ca="1">ROUND(TblProd[[#This Row],[Raw Food/hr]]*(1+TblProd[[#This Row],[Bonus Food/hr]])-TblProd[[#This Row],[Food decay]]-TblProd[[#This Row],[Food eaten]],0)</f>
        <v>688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872.1</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1623.06</v>
      </c>
      <c r="AP117" s="94">
        <f ca="1">(1+race_food_consumption)*TblPop[[#This Row],[Total]]*food_per_person*(1+tech_1_10*TblTech[[#This Row],[1-10]]+tech_7_5*TblTech[[#This Row],[7-5]] + IF(TblMagic[[#This Row],[Active Infernal Command]]&gt;0,demonic_pact_food_cons,0))</f>
        <v>269</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46106.458333333059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212935</v>
      </c>
      <c r="BJ117" s="94">
        <f ca="1">TblProd[[#This Row],[Food]]</f>
        <v>162306</v>
      </c>
      <c r="BK117" s="94">
        <f ca="1">TblProd[[#This Row],[Lumber]]</f>
        <v>72696</v>
      </c>
      <c r="BL117" s="94">
        <f ca="1">TblProd[[#This Row],[Mana]]</f>
        <v>0</v>
      </c>
      <c r="BM117" s="94">
        <f ca="1">TblProd[[#This Row],[Ore]]</f>
        <v>0</v>
      </c>
    </row>
    <row r="118" spans="1:65" x14ac:dyDescent="0.2">
      <c r="A118" s="137">
        <f t="shared" si="1"/>
        <v>79</v>
      </c>
      <c r="B118" s="152">
        <f ca="1">TblImps[[#This Row],[Time]]</f>
        <v>46106.499999999724</v>
      </c>
      <c r="C118" s="153"/>
      <c r="D118" s="154"/>
      <c r="E118" s="94">
        <f ca="1">TblConstr[[#This Row],[Land]]</f>
        <v>110</v>
      </c>
      <c r="F118" s="94">
        <f ca="1">TblPop[[#This Row],[Peasants]]</f>
        <v>320</v>
      </c>
      <c r="G118" s="94">
        <f ca="1">TblMili[[#This Row],[Networth (2)]]</f>
        <v>2450</v>
      </c>
      <c r="H118" s="94">
        <f ca="1">OFFSET(TblProd[[#This Row],[Platinum]],-1,0)+OFFSET(TblProd[[#This Row],[Plat/hr]],-1,0) - TblProd[[#This Row],[Expenses Platinum]] + IF(TblProd[[#This Row],[Plat Bonus]],TblPop[[#This Row],[Peasants]]*4) + SUM(TblConstr[[#This Row],[Dest Hom]:[Dest Doc]])*TblConstr[[#This Row],[CPA Platinum -DB]]*tech_3_3_2*TblTech[[#This Row],[3-3]]</f>
        <v>213807</v>
      </c>
      <c r="I118" s="94">
        <f ca="1">OFFSET(TblProd[[#This Row],[Food]],-1,0)+OFFSET(TblProd[[#This Row],[Food/hr]],-1,0)+ROUNDUP((TblConstr[[#This Row],[Farms]]*80+TblConstr[[#This Row],[Docks]]*35)*(1+OFFSET(TblProd[[#This Row],[Bonus Food/hr]],-1,0)),0)</f>
        <v>162994</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864</v>
      </c>
      <c r="T118" s="94">
        <f ca="1">ROUND(TblProd[[#This Row],[Raw Food/hr]]*(1+TblProd[[#This Row],[Bonus Food/hr]])-TblProd[[#This Row],[Food decay]]-TblProd[[#This Row],[Food eaten]],0)</f>
        <v>681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864</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1629.94</v>
      </c>
      <c r="AP118" s="94">
        <f ca="1">(1+race_food_consumption)*TblPop[[#This Row],[Total]]*food_per_person*(1+tech_1_10*TblTech[[#This Row],[1-10]]+tech_7_5*TblTech[[#This Row],[7-5]] + IF(TblMagic[[#This Row],[Active Infernal Command]]&gt;0,demonic_pact_food_cons,0))</f>
        <v>269</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46106.499999999724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213807</v>
      </c>
      <c r="BJ118" s="94">
        <f ca="1">TblProd[[#This Row],[Food]]</f>
        <v>162994</v>
      </c>
      <c r="BK118" s="94">
        <f ca="1">TblProd[[#This Row],[Lumber]]</f>
        <v>72969</v>
      </c>
      <c r="BL118" s="94">
        <f ca="1">TblProd[[#This Row],[Mana]]</f>
        <v>0</v>
      </c>
      <c r="BM118" s="94">
        <f ca="1">TblProd[[#This Row],[Ore]]</f>
        <v>0</v>
      </c>
    </row>
    <row r="119" spans="1:65" x14ac:dyDescent="0.2">
      <c r="A119" s="137">
        <f t="shared" si="1"/>
        <v>80</v>
      </c>
      <c r="B119" s="152">
        <f ca="1">TblImps[[#This Row],[Time]]</f>
        <v>46106.541666666388</v>
      </c>
      <c r="C119" s="153"/>
      <c r="D119" s="154"/>
      <c r="E119" s="94">
        <f ca="1">TblConstr[[#This Row],[Land]]</f>
        <v>110</v>
      </c>
      <c r="F119" s="94">
        <f ca="1">TblPop[[#This Row],[Peasants]]</f>
        <v>317</v>
      </c>
      <c r="G119" s="94">
        <f ca="1">TblMili[[#This Row],[Networth (2)]]</f>
        <v>2450</v>
      </c>
      <c r="H119" s="94">
        <f ca="1">OFFSET(TblProd[[#This Row],[Platinum]],-1,0)+OFFSET(TblProd[[#This Row],[Plat/hr]],-1,0) - TblProd[[#This Row],[Expenses Platinum]] + IF(TblProd[[#This Row],[Plat Bonus]],TblPop[[#This Row],[Peasants]]*4) + SUM(TblConstr[[#This Row],[Dest Hom]:[Dest Doc]])*TblConstr[[#This Row],[CPA Platinum -DB]]*tech_3_3_2*TblTech[[#This Row],[3-3]]</f>
        <v>214671</v>
      </c>
      <c r="I119" s="94">
        <f ca="1">OFFSET(TblProd[[#This Row],[Food]],-1,0)+OFFSET(TblProd[[#This Row],[Food/hr]],-1,0)+ROUNDUP((TblConstr[[#This Row],[Farms]]*80+TblConstr[[#This Row],[Docks]]*35)*(1+OFFSET(TblProd[[#This Row],[Bonus Food/hr]],-1,0)),0)</f>
        <v>163675</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855</v>
      </c>
      <c r="T119" s="94">
        <f ca="1">ROUND(TblProd[[#This Row],[Raw Food/hr]]*(1+TblProd[[#This Row],[Bonus Food/hr]])-TblProd[[#This Row],[Food decay]]-TblProd[[#This Row],[Food eaten]],0)</f>
        <v>674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855.90000000000009</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1636.75</v>
      </c>
      <c r="AP119" s="94">
        <f ca="1">(1+race_food_consumption)*TblPop[[#This Row],[Total]]*food_per_person*(1+tech_1_10*TblTech[[#This Row],[1-10]]+tech_7_5*TblTech[[#This Row],[7-5]] + IF(TblMagic[[#This Row],[Active Infernal Command]]&gt;0,demonic_pact_food_cons,0))</f>
        <v>269</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46106.541666666388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214671</v>
      </c>
      <c r="BJ119" s="94">
        <f ca="1">TblProd[[#This Row],[Food]]</f>
        <v>163675</v>
      </c>
      <c r="BK119" s="94">
        <f ca="1">TblProd[[#This Row],[Lumber]]</f>
        <v>73239</v>
      </c>
      <c r="BL119" s="94">
        <f ca="1">TblProd[[#This Row],[Mana]]</f>
        <v>0</v>
      </c>
      <c r="BM119" s="94">
        <f ca="1">TblProd[[#This Row],[Ore]]</f>
        <v>0</v>
      </c>
    </row>
    <row r="120" spans="1:65" x14ac:dyDescent="0.2">
      <c r="A120" s="137">
        <f t="shared" si="1"/>
        <v>81</v>
      </c>
      <c r="B120" s="152">
        <f ca="1">TblImps[[#This Row],[Time]]</f>
        <v>46106.583333333052</v>
      </c>
      <c r="C120" s="153"/>
      <c r="D120" s="154"/>
      <c r="E120" s="94">
        <f ca="1">TblConstr[[#This Row],[Land]]</f>
        <v>110</v>
      </c>
      <c r="F120" s="94">
        <f ca="1">TblPop[[#This Row],[Peasants]]</f>
        <v>314</v>
      </c>
      <c r="G120" s="94">
        <f ca="1">TblMili[[#This Row],[Networth (2)]]</f>
        <v>2450</v>
      </c>
      <c r="H120" s="94">
        <f ca="1">OFFSET(TblProd[[#This Row],[Platinum]],-1,0)+OFFSET(TblProd[[#This Row],[Plat/hr]],-1,0) - TblProd[[#This Row],[Expenses Platinum]] + IF(TblProd[[#This Row],[Plat Bonus]],TblPop[[#This Row],[Peasants]]*4) + SUM(TblConstr[[#This Row],[Dest Hom]:[Dest Doc]])*TblConstr[[#This Row],[CPA Platinum -DB]]*tech_3_3_2*TblTech[[#This Row],[3-3]]</f>
        <v>215526</v>
      </c>
      <c r="I120" s="94">
        <f ca="1">OFFSET(TblProd[[#This Row],[Food]],-1,0)+OFFSET(TblProd[[#This Row],[Food/hr]],-1,0)+ROUNDUP((TblConstr[[#This Row],[Farms]]*80+TblConstr[[#This Row],[Docks]]*35)*(1+OFFSET(TblProd[[#This Row],[Bonus Food/hr]],-1,0)),0)</f>
        <v>164349</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847</v>
      </c>
      <c r="T120" s="94">
        <f ca="1">ROUND(TblProd[[#This Row],[Raw Food/hr]]*(1+TblProd[[#This Row],[Bonus Food/hr]])-TblProd[[#This Row],[Food decay]]-TblProd[[#This Row],[Food eaten]],0)</f>
        <v>668</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847.80000000000007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1643.49</v>
      </c>
      <c r="AP120" s="94">
        <f ca="1">(1+race_food_consumption)*TblPop[[#This Row],[Total]]*food_per_person*(1+tech_1_10*TblTech[[#This Row],[1-10]]+tech_7_5*TblTech[[#This Row],[7-5]] + IF(TblMagic[[#This Row],[Active Infernal Command]]&gt;0,demonic_pact_food_cons,0))</f>
        <v>269</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46106.583333333052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215526</v>
      </c>
      <c r="BJ120" s="94">
        <f ca="1">TblProd[[#This Row],[Food]]</f>
        <v>164349</v>
      </c>
      <c r="BK120" s="94">
        <f ca="1">TblProd[[#This Row],[Lumber]]</f>
        <v>73507</v>
      </c>
      <c r="BL120" s="94">
        <f ca="1">TblProd[[#This Row],[Mana]]</f>
        <v>0</v>
      </c>
      <c r="BM120" s="94">
        <f ca="1">TblProd[[#This Row],[Ore]]</f>
        <v>0</v>
      </c>
    </row>
    <row r="121" spans="1:65" x14ac:dyDescent="0.2">
      <c r="A121" s="137">
        <f t="shared" si="1"/>
        <v>82</v>
      </c>
      <c r="B121" s="152">
        <f ca="1">TblImps[[#This Row],[Time]]</f>
        <v>46106.624999999716</v>
      </c>
      <c r="C121" s="153"/>
      <c r="D121" s="154"/>
      <c r="E121" s="94">
        <f ca="1">TblConstr[[#This Row],[Land]]</f>
        <v>110</v>
      </c>
      <c r="F121" s="94">
        <f ca="1">TblPop[[#This Row],[Peasants]]</f>
        <v>311</v>
      </c>
      <c r="G121" s="94">
        <f ca="1">TblMili[[#This Row],[Networth (2)]]</f>
        <v>2450</v>
      </c>
      <c r="H121" s="94">
        <f ca="1">OFFSET(TblProd[[#This Row],[Platinum]],-1,0)+OFFSET(TblProd[[#This Row],[Plat/hr]],-1,0) - TblProd[[#This Row],[Expenses Platinum]] + IF(TblProd[[#This Row],[Plat Bonus]],TblPop[[#This Row],[Peasants]]*4) + SUM(TblConstr[[#This Row],[Dest Hom]:[Dest Doc]])*TblConstr[[#This Row],[CPA Platinum -DB]]*tech_3_3_2*TblTech[[#This Row],[3-3]]</f>
        <v>216373</v>
      </c>
      <c r="I121" s="94">
        <f ca="1">OFFSET(TblProd[[#This Row],[Food]],-1,0)+OFFSET(TblProd[[#This Row],[Food/hr]],-1,0)+ROUNDUP((TblConstr[[#This Row],[Farms]]*80+TblConstr[[#This Row],[Docks]]*35)*(1+OFFSET(TblProd[[#This Row],[Bonus Food/hr]],-1,0)),0)</f>
        <v>165017</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839</v>
      </c>
      <c r="T121" s="94">
        <f ca="1">ROUND(TblProd[[#This Row],[Raw Food/hr]]*(1+TblProd[[#This Row],[Bonus Food/hr]])-TblProd[[#This Row],[Food decay]]-TblProd[[#This Row],[Food eaten]],0)</f>
        <v>661</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839.7</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1650.17</v>
      </c>
      <c r="AP121" s="94">
        <f ca="1">(1+race_food_consumption)*TblPop[[#This Row],[Total]]*food_per_person*(1+tech_1_10*TblTech[[#This Row],[1-10]]+tech_7_5*TblTech[[#This Row],[7-5]] + IF(TblMagic[[#This Row],[Active Infernal Command]]&gt;0,demonic_pact_food_cons,0))</f>
        <v>269</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46106.624999999716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216373</v>
      </c>
      <c r="BJ121" s="94">
        <f ca="1">TblProd[[#This Row],[Food]]</f>
        <v>165017</v>
      </c>
      <c r="BK121" s="94">
        <f ca="1">TblProd[[#This Row],[Lumber]]</f>
        <v>73772</v>
      </c>
      <c r="BL121" s="94">
        <f ca="1">TblProd[[#This Row],[Mana]]</f>
        <v>0</v>
      </c>
      <c r="BM121" s="94">
        <f ca="1">TblProd[[#This Row],[Ore]]</f>
        <v>0</v>
      </c>
    </row>
    <row r="122" spans="1:65" x14ac:dyDescent="0.2">
      <c r="A122" s="137">
        <f t="shared" si="1"/>
        <v>83</v>
      </c>
      <c r="B122" s="152">
        <f ca="1">TblImps[[#This Row],[Time]]</f>
        <v>46106.66666666638</v>
      </c>
      <c r="C122" s="153"/>
      <c r="D122" s="154"/>
      <c r="E122" s="94">
        <f ca="1">TblConstr[[#This Row],[Land]]</f>
        <v>110</v>
      </c>
      <c r="F122" s="94">
        <f ca="1">TblPop[[#This Row],[Peasants]]</f>
        <v>308</v>
      </c>
      <c r="G122" s="94">
        <f ca="1">TblMili[[#This Row],[Networth (2)]]</f>
        <v>2450</v>
      </c>
      <c r="H122" s="94">
        <f ca="1">OFFSET(TblProd[[#This Row],[Platinum]],-1,0)+OFFSET(TblProd[[#This Row],[Plat/hr]],-1,0) - TblProd[[#This Row],[Expenses Platinum]] + IF(TblProd[[#This Row],[Plat Bonus]],TblPop[[#This Row],[Peasants]]*4) + SUM(TblConstr[[#This Row],[Dest Hom]:[Dest Doc]])*TblConstr[[#This Row],[CPA Platinum -DB]]*tech_3_3_2*TblTech[[#This Row],[3-3]]</f>
        <v>217212</v>
      </c>
      <c r="I122" s="94">
        <f ca="1">OFFSET(TblProd[[#This Row],[Food]],-1,0)+OFFSET(TblProd[[#This Row],[Food/hr]],-1,0)+ROUNDUP((TblConstr[[#This Row],[Farms]]*80+TblConstr[[#This Row],[Docks]]*35)*(1+OFFSET(TblProd[[#This Row],[Bonus Food/hr]],-1,0)),0)</f>
        <v>165678</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831</v>
      </c>
      <c r="T122" s="94">
        <f ca="1">ROUND(TblProd[[#This Row],[Raw Food/hr]]*(1+TblProd[[#This Row],[Bonus Food/hr]])-TblProd[[#This Row],[Food decay]]-TblProd[[#This Row],[Food eaten]],0)</f>
        <v>654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831.6</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1656.78</v>
      </c>
      <c r="AP122" s="94">
        <f ca="1">(1+race_food_consumption)*TblPop[[#This Row],[Total]]*food_per_person*(1+tech_1_10*TblTech[[#This Row],[1-10]]+tech_7_5*TblTech[[#This Row],[7-5]] + IF(TblMagic[[#This Row],[Active Infernal Command]]&gt;0,demonic_pact_food_cons,0))</f>
        <v>269</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46106.66666666638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217212</v>
      </c>
      <c r="BJ122" s="94">
        <f ca="1">TblProd[[#This Row],[Food]]</f>
        <v>165678</v>
      </c>
      <c r="BK122" s="94">
        <f ca="1">TblProd[[#This Row],[Lumber]]</f>
        <v>74034</v>
      </c>
      <c r="BL122" s="94">
        <f ca="1">TblProd[[#This Row],[Mana]]</f>
        <v>0</v>
      </c>
      <c r="BM122" s="94">
        <f ca="1">TblProd[[#This Row],[Ore]]</f>
        <v>0</v>
      </c>
    </row>
    <row r="123" spans="1:65" x14ac:dyDescent="0.2">
      <c r="A123" s="137">
        <f t="shared" si="1"/>
        <v>84</v>
      </c>
      <c r="B123" s="152">
        <f ca="1">TblImps[[#This Row],[Time]]</f>
        <v>46106.708333333045</v>
      </c>
      <c r="C123" s="153"/>
      <c r="D123" s="154"/>
      <c r="E123" s="94">
        <f ca="1">TblConstr[[#This Row],[Land]]</f>
        <v>110</v>
      </c>
      <c r="F123" s="94">
        <f ca="1">TblPop[[#This Row],[Peasants]]</f>
        <v>305</v>
      </c>
      <c r="G123" s="94">
        <f ca="1">TblMili[[#This Row],[Networth (2)]]</f>
        <v>2450</v>
      </c>
      <c r="H123" s="94">
        <f ca="1">OFFSET(TblProd[[#This Row],[Platinum]],-1,0)+OFFSET(TblProd[[#This Row],[Plat/hr]],-1,0) - TblProd[[#This Row],[Expenses Platinum]] + IF(TblProd[[#This Row],[Plat Bonus]],TblPop[[#This Row],[Peasants]]*4) + SUM(TblConstr[[#This Row],[Dest Hom]:[Dest Doc]])*TblConstr[[#This Row],[CPA Platinum -DB]]*tech_3_3_2*TblTech[[#This Row],[3-3]]</f>
        <v>218043</v>
      </c>
      <c r="I123" s="94">
        <f ca="1">OFFSET(TblProd[[#This Row],[Food]],-1,0)+OFFSET(TblProd[[#This Row],[Food/hr]],-1,0)+ROUNDUP((TblConstr[[#This Row],[Farms]]*80+TblConstr[[#This Row],[Docks]]*35)*(1+OFFSET(TblProd[[#This Row],[Bonus Food/hr]],-1,0)),0)</f>
        <v>166332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823</v>
      </c>
      <c r="T123" s="94">
        <f ca="1">ROUND(TblProd[[#This Row],[Raw Food/hr]]*(1+TblProd[[#This Row],[Bonus Food/hr]])-TblProd[[#This Row],[Food decay]]-TblProd[[#This Row],[Food eaten]],0)</f>
        <v>648</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823.5</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1663.32</v>
      </c>
      <c r="AP123" s="94">
        <f ca="1">(1+race_food_consumption)*TblPop[[#This Row],[Total]]*food_per_person*(1+tech_1_10*TblTech[[#This Row],[1-10]]+tech_7_5*TblTech[[#This Row],[7-5]] + IF(TblMagic[[#This Row],[Active Infernal Command]]&gt;0,demonic_pact_food_cons,0))</f>
        <v>269</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46106.708333333045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218043</v>
      </c>
      <c r="BJ123" s="94">
        <f ca="1">TblProd[[#This Row],[Food]]</f>
        <v>166332</v>
      </c>
      <c r="BK123" s="94">
        <f ca="1">TblProd[[#This Row],[Lumber]]</f>
        <v>74294</v>
      </c>
      <c r="BL123" s="94">
        <f ca="1">TblProd[[#This Row],[Mana]]</f>
        <v>0</v>
      </c>
      <c r="BM123" s="94">
        <f ca="1">TblProd[[#This Row],[Ore]]</f>
        <v>0</v>
      </c>
    </row>
    <row r="124" spans="1:65" x14ac:dyDescent="0.2">
      <c r="A124" s="137">
        <f t="shared" si="1"/>
        <v>85</v>
      </c>
      <c r="B124" s="152">
        <f ca="1">TblImps[[#This Row],[Time]]</f>
        <v>46106.749999999709</v>
      </c>
      <c r="C124" s="153"/>
      <c r="D124" s="154"/>
      <c r="E124" s="94">
        <f ca="1">TblConstr[[#This Row],[Land]]</f>
        <v>110</v>
      </c>
      <c r="F124" s="94">
        <f ca="1">TblPop[[#This Row],[Peasants]]</f>
        <v>302</v>
      </c>
      <c r="G124" s="94">
        <f ca="1">TblMili[[#This Row],[Networth (2)]]</f>
        <v>2450</v>
      </c>
      <c r="H124" s="94">
        <f ca="1">OFFSET(TblProd[[#This Row],[Platinum]],-1,0)+OFFSET(TblProd[[#This Row],[Plat/hr]],-1,0) - TblProd[[#This Row],[Expenses Platinum]] + IF(TblProd[[#This Row],[Plat Bonus]],TblPop[[#This Row],[Peasants]]*4) + SUM(TblConstr[[#This Row],[Dest Hom]:[Dest Doc]])*TblConstr[[#This Row],[CPA Platinum -DB]]*tech_3_3_2*TblTech[[#This Row],[3-3]]</f>
        <v>218866</v>
      </c>
      <c r="I124" s="94">
        <f ca="1">OFFSET(TblProd[[#This Row],[Food]],-1,0)+OFFSET(TblProd[[#This Row],[Food/hr]],-1,0)+ROUNDUP((TblConstr[[#This Row],[Farms]]*80+TblConstr[[#This Row],[Docks]]*35)*(1+OFFSET(TblProd[[#This Row],[Bonus Food/hr]],-1,0)),0)</f>
        <v>166980</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815</v>
      </c>
      <c r="T124" s="94">
        <f ca="1">ROUND(TblProd[[#This Row],[Raw Food/hr]]*(1+TblProd[[#This Row],[Bonus Food/hr]])-TblProd[[#This Row],[Food decay]]-TblProd[[#This Row],[Food eaten]],0)</f>
        <v>641</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815.40000000000009</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1669.8</v>
      </c>
      <c r="AP124" s="94">
        <f ca="1">(1+race_food_consumption)*TblPop[[#This Row],[Total]]*food_per_person*(1+tech_1_10*TblTech[[#This Row],[1-10]]+tech_7_5*TblTech[[#This Row],[7-5]] + IF(TblMagic[[#This Row],[Active Infernal Command]]&gt;0,demonic_pact_food_cons,0))</f>
        <v>269</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46106.749999999709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218866</v>
      </c>
      <c r="BJ124" s="94">
        <f ca="1">TblProd[[#This Row],[Food]]</f>
        <v>166980</v>
      </c>
      <c r="BK124" s="94">
        <f ca="1">TblProd[[#This Row],[Lumber]]</f>
        <v>74551</v>
      </c>
      <c r="BL124" s="94">
        <f ca="1">TblProd[[#This Row],[Mana]]</f>
        <v>0</v>
      </c>
      <c r="BM124" s="94">
        <f ca="1">TblProd[[#This Row],[Ore]]</f>
        <v>0</v>
      </c>
    </row>
    <row r="125" spans="1:65" x14ac:dyDescent="0.2">
      <c r="A125" s="137">
        <f t="shared" si="1"/>
        <v>86</v>
      </c>
      <c r="B125" s="152">
        <f ca="1">TblImps[[#This Row],[Time]]</f>
        <v>46106.791666666373</v>
      </c>
      <c r="C125" s="153"/>
      <c r="D125" s="154"/>
      <c r="E125" s="94">
        <f ca="1">TblConstr[[#This Row],[Land]]</f>
        <v>110</v>
      </c>
      <c r="F125" s="94">
        <f ca="1">TblPop[[#This Row],[Peasants]]</f>
        <v>299</v>
      </c>
      <c r="G125" s="94">
        <f ca="1">TblMili[[#This Row],[Networth (2)]]</f>
        <v>2450</v>
      </c>
      <c r="H125" s="94">
        <f ca="1">OFFSET(TblProd[[#This Row],[Platinum]],-1,0)+OFFSET(TblProd[[#This Row],[Plat/hr]],-1,0) - TblProd[[#This Row],[Expenses Platinum]] + IF(TblProd[[#This Row],[Plat Bonus]],TblPop[[#This Row],[Peasants]]*4) + SUM(TblConstr[[#This Row],[Dest Hom]:[Dest Doc]])*TblConstr[[#This Row],[CPA Platinum -DB]]*tech_3_3_2*TblTech[[#This Row],[3-3]]</f>
        <v>219681</v>
      </c>
      <c r="I125" s="94">
        <f ca="1">OFFSET(TblProd[[#This Row],[Food]],-1,0)+OFFSET(TblProd[[#This Row],[Food/hr]],-1,0)+ROUNDUP((TblConstr[[#This Row],[Farms]]*80+TblConstr[[#This Row],[Docks]]*35)*(1+OFFSET(TblProd[[#This Row],[Bonus Food/hr]],-1,0)),0)</f>
        <v>167621</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807</v>
      </c>
      <c r="T125" s="94">
        <f ca="1">ROUND(TblProd[[#This Row],[Raw Food/hr]]*(1+TblProd[[#This Row],[Bonus Food/hr]])-TblProd[[#This Row],[Food decay]]-TblProd[[#This Row],[Food eaten]],0)</f>
        <v>635</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807.30000000000007</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1676.21</v>
      </c>
      <c r="AP125" s="94">
        <f ca="1">(1+race_food_consumption)*TblPop[[#This Row],[Total]]*food_per_person*(1+tech_1_10*TblTech[[#This Row],[1-10]]+tech_7_5*TblTech[[#This Row],[7-5]] + IF(TblMagic[[#This Row],[Active Infernal Command]]&gt;0,demonic_pact_food_cons,0))</f>
        <v>269</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46106.791666666373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219681</v>
      </c>
      <c r="BJ125" s="94">
        <f ca="1">TblProd[[#This Row],[Food]]</f>
        <v>167621</v>
      </c>
      <c r="BK125" s="94">
        <f ca="1">TblProd[[#This Row],[Lumber]]</f>
        <v>74805</v>
      </c>
      <c r="BL125" s="94">
        <f ca="1">TblProd[[#This Row],[Mana]]</f>
        <v>0</v>
      </c>
      <c r="BM125" s="94">
        <f ca="1">TblProd[[#This Row],[Ore]]</f>
        <v>0</v>
      </c>
    </row>
    <row r="126" spans="1:65" x14ac:dyDescent="0.2">
      <c r="A126" s="137">
        <f t="shared" si="1"/>
        <v>87</v>
      </c>
      <c r="B126" s="152">
        <f ca="1">TblImps[[#This Row],[Time]]</f>
        <v>46106.833333333037</v>
      </c>
      <c r="C126" s="153"/>
      <c r="D126" s="154"/>
      <c r="E126" s="94">
        <f ca="1">TblConstr[[#This Row],[Land]]</f>
        <v>110</v>
      </c>
      <c r="F126" s="94">
        <f ca="1">TblPop[[#This Row],[Peasants]]</f>
        <v>296</v>
      </c>
      <c r="G126" s="94">
        <f ca="1">TblMili[[#This Row],[Networth (2)]]</f>
        <v>2450</v>
      </c>
      <c r="H126" s="94">
        <f ca="1">OFFSET(TblProd[[#This Row],[Platinum]],-1,0)+OFFSET(TblProd[[#This Row],[Plat/hr]],-1,0) - TblProd[[#This Row],[Expenses Platinum]] + IF(TblProd[[#This Row],[Plat Bonus]],TblPop[[#This Row],[Peasants]]*4) + SUM(TblConstr[[#This Row],[Dest Hom]:[Dest Doc]])*TblConstr[[#This Row],[CPA Platinum -DB]]*tech_3_3_2*TblTech[[#This Row],[3-3]]</f>
        <v>220488</v>
      </c>
      <c r="I126" s="94">
        <f ca="1">OFFSET(TblProd[[#This Row],[Food]],-1,0)+OFFSET(TblProd[[#This Row],[Food/hr]],-1,0)+ROUNDUP((TblConstr[[#This Row],[Farms]]*80+TblConstr[[#This Row],[Docks]]*35)*(1+OFFSET(TblProd[[#This Row],[Bonus Food/hr]],-1,0)),0)</f>
        <v>168256</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799</v>
      </c>
      <c r="T126" s="94">
        <f ca="1">ROUND(TblProd[[#This Row],[Raw Food/hr]]*(1+TblProd[[#This Row],[Bonus Food/hr]])-TblProd[[#This Row],[Food decay]]-TblProd[[#This Row],[Food eaten]],0)</f>
        <v>628</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799.2</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1682.56</v>
      </c>
      <c r="AP126" s="94">
        <f ca="1">(1+race_food_consumption)*TblPop[[#This Row],[Total]]*food_per_person*(1+tech_1_10*TblTech[[#This Row],[1-10]]+tech_7_5*TblTech[[#This Row],[7-5]] + IF(TblMagic[[#This Row],[Active Infernal Command]]&gt;0,demonic_pact_food_cons,0))</f>
        <v>269</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46106.833333333037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220488</v>
      </c>
      <c r="BJ126" s="94">
        <f ca="1">TblProd[[#This Row],[Food]]</f>
        <v>168256</v>
      </c>
      <c r="BK126" s="94">
        <f ca="1">TblProd[[#This Row],[Lumber]]</f>
        <v>75057</v>
      </c>
      <c r="BL126" s="94">
        <f ca="1">TblProd[[#This Row],[Mana]]</f>
        <v>0</v>
      </c>
      <c r="BM126" s="94">
        <f ca="1">TblProd[[#This Row],[Ore]]</f>
        <v>0</v>
      </c>
    </row>
    <row r="127" spans="1:65" x14ac:dyDescent="0.2">
      <c r="A127" s="137">
        <f t="shared" si="1"/>
        <v>88</v>
      </c>
      <c r="B127" s="152">
        <f ca="1">TblImps[[#This Row],[Time]]</f>
        <v>46106.874999999702</v>
      </c>
      <c r="C127" s="153"/>
      <c r="D127" s="154"/>
      <c r="E127" s="94">
        <f ca="1">TblConstr[[#This Row],[Land]]</f>
        <v>110</v>
      </c>
      <c r="F127" s="94">
        <f ca="1">TblPop[[#This Row],[Peasants]]</f>
        <v>293</v>
      </c>
      <c r="G127" s="94">
        <f ca="1">TblMili[[#This Row],[Networth (2)]]</f>
        <v>2450</v>
      </c>
      <c r="H127" s="94">
        <f ca="1">OFFSET(TblProd[[#This Row],[Platinum]],-1,0)+OFFSET(TblProd[[#This Row],[Plat/hr]],-1,0) - TblProd[[#This Row],[Expenses Platinum]] + IF(TblProd[[#This Row],[Plat Bonus]],TblPop[[#This Row],[Peasants]]*4) + SUM(TblConstr[[#This Row],[Dest Hom]:[Dest Doc]])*TblConstr[[#This Row],[CPA Platinum -DB]]*tech_3_3_2*TblTech[[#This Row],[3-3]]</f>
        <v>221287</v>
      </c>
      <c r="I127" s="94">
        <f ca="1">OFFSET(TblProd[[#This Row],[Food]],-1,0)+OFFSET(TblProd[[#This Row],[Food/hr]],-1,0)+ROUNDUP((TblConstr[[#This Row],[Farms]]*80+TblConstr[[#This Row],[Docks]]*35)*(1+OFFSET(TblProd[[#This Row],[Bonus Food/hr]],-1,0)),0)</f>
        <v>168884</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791</v>
      </c>
      <c r="T127" s="94">
        <f ca="1">ROUND(TblProd[[#This Row],[Raw Food/hr]]*(1+TblProd[[#This Row],[Bonus Food/hr]])-TblProd[[#This Row],[Food decay]]-TblProd[[#This Row],[Food eaten]],0)</f>
        <v>622</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791.1</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1688.8400000000001</v>
      </c>
      <c r="AP127" s="94">
        <f ca="1">(1+race_food_consumption)*TblPop[[#This Row],[Total]]*food_per_person*(1+tech_1_10*TblTech[[#This Row],[1-10]]+tech_7_5*TblTech[[#This Row],[7-5]] + IF(TblMagic[[#This Row],[Active Infernal Command]]&gt;0,demonic_pact_food_cons,0))</f>
        <v>269</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46106.874999999702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221287</v>
      </c>
      <c r="BJ127" s="94">
        <f ca="1">TblProd[[#This Row],[Food]]</f>
        <v>168884</v>
      </c>
      <c r="BK127" s="94">
        <f ca="1">TblProd[[#This Row],[Lumber]]</f>
        <v>75306</v>
      </c>
      <c r="BL127" s="94">
        <f ca="1">TblProd[[#This Row],[Mana]]</f>
        <v>0</v>
      </c>
      <c r="BM127" s="94">
        <f ca="1">TblProd[[#This Row],[Ore]]</f>
        <v>0</v>
      </c>
    </row>
    <row r="128" spans="1:65" x14ac:dyDescent="0.2">
      <c r="A128" s="137">
        <f t="shared" si="1"/>
        <v>89</v>
      </c>
      <c r="B128" s="152">
        <f ca="1">TblImps[[#This Row],[Time]]</f>
        <v>46106.916666666366</v>
      </c>
      <c r="C128" s="153"/>
      <c r="D128" s="154"/>
      <c r="E128" s="94">
        <f ca="1">TblConstr[[#This Row],[Land]]</f>
        <v>110</v>
      </c>
      <c r="F128" s="94">
        <f ca="1">TblPop[[#This Row],[Peasants]]</f>
        <v>290</v>
      </c>
      <c r="G128" s="94">
        <f ca="1">TblMili[[#This Row],[Networth (2)]]</f>
        <v>2450</v>
      </c>
      <c r="H128" s="94">
        <f ca="1">OFFSET(TblProd[[#This Row],[Platinum]],-1,0)+OFFSET(TblProd[[#This Row],[Plat/hr]],-1,0) - TblProd[[#This Row],[Expenses Platinum]] + IF(TblProd[[#This Row],[Plat Bonus]],TblPop[[#This Row],[Peasants]]*4) + SUM(TblConstr[[#This Row],[Dest Hom]:[Dest Doc]])*TblConstr[[#This Row],[CPA Platinum -DB]]*tech_3_3_2*TblTech[[#This Row],[3-3]]</f>
        <v>222078</v>
      </c>
      <c r="I128" s="94">
        <f ca="1">OFFSET(TblProd[[#This Row],[Food]],-1,0)+OFFSET(TblProd[[#This Row],[Food/hr]],-1,0)+ROUNDUP((TblConstr[[#This Row],[Farms]]*80+TblConstr[[#This Row],[Docks]]*35)*(1+OFFSET(TblProd[[#This Row],[Bonus Food/hr]],-1,0)),0)</f>
        <v>169506</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783</v>
      </c>
      <c r="T128" s="94">
        <f ca="1">ROUND(TblProd[[#This Row],[Raw Food/hr]]*(1+TblProd[[#This Row],[Bonus Food/hr]])-TblProd[[#This Row],[Food decay]]-TblProd[[#This Row],[Food eaten]],0)</f>
        <v>616</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783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1695.06</v>
      </c>
      <c r="AP128" s="94">
        <f ca="1">(1+race_food_consumption)*TblPop[[#This Row],[Total]]*food_per_person*(1+tech_1_10*TblTech[[#This Row],[1-10]]+tech_7_5*TblTech[[#This Row],[7-5]] + IF(TblMagic[[#This Row],[Active Infernal Command]]&gt;0,demonic_pact_food_cons,0))</f>
        <v>269</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46106.916666666366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222078</v>
      </c>
      <c r="BJ128" s="94">
        <f ca="1">TblProd[[#This Row],[Food]]</f>
        <v>169506</v>
      </c>
      <c r="BK128" s="94">
        <f ca="1">TblProd[[#This Row],[Lumber]]</f>
        <v>75553</v>
      </c>
      <c r="BL128" s="94">
        <f ca="1">TblProd[[#This Row],[Mana]]</f>
        <v>0</v>
      </c>
      <c r="BM128" s="94">
        <f ca="1">TblProd[[#This Row],[Ore]]</f>
        <v>0</v>
      </c>
    </row>
    <row r="129" spans="1:65" x14ac:dyDescent="0.2">
      <c r="A129" s="137">
        <f t="shared" si="1"/>
        <v>90</v>
      </c>
      <c r="B129" s="152">
        <f ca="1">TblImps[[#This Row],[Time]]</f>
        <v>46106.95833333303</v>
      </c>
      <c r="C129" s="153"/>
      <c r="D129" s="154"/>
      <c r="E129" s="94">
        <f ca="1">TblConstr[[#This Row],[Land]]</f>
        <v>110</v>
      </c>
      <c r="F129" s="94">
        <f ca="1">TblPop[[#This Row],[Peasants]]</f>
        <v>287</v>
      </c>
      <c r="G129" s="94">
        <f ca="1">TblMili[[#This Row],[Networth (2)]]</f>
        <v>2450</v>
      </c>
      <c r="H129" s="94">
        <f ca="1">OFFSET(TblProd[[#This Row],[Platinum]],-1,0)+OFFSET(TblProd[[#This Row],[Plat/hr]],-1,0) - TblProd[[#This Row],[Expenses Platinum]] + IF(TblProd[[#This Row],[Plat Bonus]],TblPop[[#This Row],[Peasants]]*4) + SUM(TblConstr[[#This Row],[Dest Hom]:[Dest Doc]])*TblConstr[[#This Row],[CPA Platinum -DB]]*tech_3_3_2*TblTech[[#This Row],[3-3]]</f>
        <v>222861</v>
      </c>
      <c r="I129" s="94">
        <f ca="1">OFFSET(TblProd[[#This Row],[Food]],-1,0)+OFFSET(TblProd[[#This Row],[Food/hr]],-1,0)+ROUNDUP((TblConstr[[#This Row],[Farms]]*80+TblConstr[[#This Row],[Docks]]*35)*(1+OFFSET(TblProd[[#This Row],[Bonus Food/hr]],-1,0)),0)</f>
        <v>170122</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774</v>
      </c>
      <c r="T129" s="94">
        <f ca="1">ROUND(TblProd[[#This Row],[Raw Food/hr]]*(1+TblProd[[#This Row],[Bonus Food/hr]])-TblProd[[#This Row],[Food decay]]-TblProd[[#This Row],[Food eaten]],0)</f>
        <v>610</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774.90000000000009</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1701.22</v>
      </c>
      <c r="AP129" s="94">
        <f ca="1">(1+race_food_consumption)*TblPop[[#This Row],[Total]]*food_per_person*(1+tech_1_10*TblTech[[#This Row],[1-10]]+tech_7_5*TblTech[[#This Row],[7-5]] + IF(TblMagic[[#This Row],[Active Infernal Command]]&gt;0,demonic_pact_food_cons,0))</f>
        <v>269</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46106.95833333303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222861</v>
      </c>
      <c r="BJ129" s="94">
        <f ca="1">TblProd[[#This Row],[Food]]</f>
        <v>170122</v>
      </c>
      <c r="BK129" s="94">
        <f ca="1">TblProd[[#This Row],[Lumber]]</f>
        <v>75797</v>
      </c>
      <c r="BL129" s="94">
        <f ca="1">TblProd[[#This Row],[Mana]]</f>
        <v>0</v>
      </c>
      <c r="BM129" s="94">
        <f ca="1">TblProd[[#This Row],[Ore]]</f>
        <v>0</v>
      </c>
    </row>
    <row r="130" spans="1:65" x14ac:dyDescent="0.2">
      <c r="A130" s="137">
        <f t="shared" si="1"/>
        <v>91</v>
      </c>
      <c r="B130" s="152">
        <f ca="1">TblImps[[#This Row],[Time]]</f>
        <v>46106.999999999694</v>
      </c>
      <c r="C130" s="153"/>
      <c r="D130" s="154"/>
      <c r="E130" s="94">
        <f ca="1">TblConstr[[#This Row],[Land]]</f>
        <v>110</v>
      </c>
      <c r="F130" s="94">
        <f ca="1">TblPop[[#This Row],[Peasants]]</f>
        <v>284</v>
      </c>
      <c r="G130" s="94">
        <f ca="1">TblMili[[#This Row],[Networth (2)]]</f>
        <v>2450</v>
      </c>
      <c r="H130" s="94">
        <f ca="1">OFFSET(TblProd[[#This Row],[Platinum]],-1,0)+OFFSET(TblProd[[#This Row],[Plat/hr]],-1,0) - TblProd[[#This Row],[Expenses Platinum]] + IF(TblProd[[#This Row],[Plat Bonus]],TblPop[[#This Row],[Peasants]]*4) + SUM(TblConstr[[#This Row],[Dest Hom]:[Dest Doc]])*TblConstr[[#This Row],[CPA Platinum -DB]]*tech_3_3_2*TblTech[[#This Row],[3-3]]</f>
        <v>223635</v>
      </c>
      <c r="I130" s="94">
        <f ca="1">OFFSET(TblProd[[#This Row],[Food]],-1,0)+OFFSET(TblProd[[#This Row],[Food/hr]],-1,0)+ROUNDUP((TblConstr[[#This Row],[Farms]]*80+TblConstr[[#This Row],[Docks]]*35)*(1+OFFSET(TblProd[[#This Row],[Bonus Food/hr]],-1,0)),0)</f>
        <v>170732</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766</v>
      </c>
      <c r="T130" s="94">
        <f ca="1">ROUND(TblProd[[#This Row],[Raw Food/hr]]*(1+TblProd[[#This Row],[Bonus Food/hr]])-TblProd[[#This Row],[Food decay]]-TblProd[[#This Row],[Food eaten]],0)</f>
        <v>604</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766.80000000000007</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1707.32</v>
      </c>
      <c r="AP130" s="94">
        <f ca="1">(1+race_food_consumption)*TblPop[[#This Row],[Total]]*food_per_person*(1+tech_1_10*TblTech[[#This Row],[1-10]]+tech_7_5*TblTech[[#This Row],[7-5]] + IF(TblMagic[[#This Row],[Active Infernal Command]]&gt;0,demonic_pact_food_cons,0))</f>
        <v>269</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46106.999999999694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223635</v>
      </c>
      <c r="BJ130" s="94">
        <f ca="1">TblProd[[#This Row],[Food]]</f>
        <v>170732</v>
      </c>
      <c r="BK130" s="94">
        <f ca="1">TblProd[[#This Row],[Lumber]]</f>
        <v>76039</v>
      </c>
      <c r="BL130" s="94">
        <f ca="1">TblProd[[#This Row],[Mana]]</f>
        <v>0</v>
      </c>
      <c r="BM130" s="94">
        <f ca="1">TblProd[[#This Row],[Ore]]</f>
        <v>0</v>
      </c>
    </row>
    <row r="131" spans="1:65" x14ac:dyDescent="0.2">
      <c r="A131" s="137">
        <f t="shared" si="1"/>
        <v>92</v>
      </c>
      <c r="B131" s="152">
        <f ca="1">TblImps[[#This Row],[Time]]</f>
        <v>46107.041666666359</v>
      </c>
      <c r="C131" s="153"/>
      <c r="D131" s="154"/>
      <c r="E131" s="94">
        <f ca="1">TblConstr[[#This Row],[Land]]</f>
        <v>110</v>
      </c>
      <c r="F131" s="94">
        <f ca="1">TblPop[[#This Row],[Peasants]]</f>
        <v>281</v>
      </c>
      <c r="G131" s="94">
        <f ca="1">TblMili[[#This Row],[Networth (2)]]</f>
        <v>2450</v>
      </c>
      <c r="H131" s="94">
        <f ca="1">OFFSET(TblProd[[#This Row],[Platinum]],-1,0)+OFFSET(TblProd[[#This Row],[Plat/hr]],-1,0) - TblProd[[#This Row],[Expenses Platinum]] + IF(TblProd[[#This Row],[Plat Bonus]],TblPop[[#This Row],[Peasants]]*4) + SUM(TblConstr[[#This Row],[Dest Hom]:[Dest Doc]])*TblConstr[[#This Row],[CPA Platinum -DB]]*tech_3_3_2*TblTech[[#This Row],[3-3]]</f>
        <v>224401</v>
      </c>
      <c r="I131" s="94">
        <f ca="1">OFFSET(TblProd[[#This Row],[Food]],-1,0)+OFFSET(TblProd[[#This Row],[Food/hr]],-1,0)+ROUNDUP((TblConstr[[#This Row],[Farms]]*80+TblConstr[[#This Row],[Docks]]*35)*(1+OFFSET(TblProd[[#This Row],[Bonus Food/hr]],-1,0)),0)</f>
        <v>171336</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758</v>
      </c>
      <c r="T131" s="94">
        <f ca="1">ROUND(TblProd[[#This Row],[Raw Food/hr]]*(1+TblProd[[#This Row],[Bonus Food/hr]])-TblProd[[#This Row],[Food decay]]-TblProd[[#This Row],[Food eaten]],0)</f>
        <v>598</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758.7</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1713.3600000000001</v>
      </c>
      <c r="AP131" s="94">
        <f ca="1">(1+race_food_consumption)*TblPop[[#This Row],[Total]]*food_per_person*(1+tech_1_10*TblTech[[#This Row],[1-10]]+tech_7_5*TblTech[[#This Row],[7-5]] + IF(TblMagic[[#This Row],[Active Infernal Command]]&gt;0,demonic_pact_food_cons,0))</f>
        <v>269</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46107.041666666359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224401</v>
      </c>
      <c r="BJ131" s="94">
        <f ca="1">TblProd[[#This Row],[Food]]</f>
        <v>171336</v>
      </c>
      <c r="BK131" s="94">
        <f ca="1">TblProd[[#This Row],[Lumber]]</f>
        <v>76279</v>
      </c>
      <c r="BL131" s="94">
        <f ca="1">TblProd[[#This Row],[Mana]]</f>
        <v>0</v>
      </c>
      <c r="BM131" s="94">
        <f ca="1">TblProd[[#This Row],[Ore]]</f>
        <v>0</v>
      </c>
    </row>
    <row r="132" spans="1:65" x14ac:dyDescent="0.2">
      <c r="A132" s="137">
        <f t="shared" si="1"/>
        <v>93</v>
      </c>
      <c r="B132" s="152">
        <f ca="1">TblImps[[#This Row],[Time]]</f>
        <v>46107.083333333023</v>
      </c>
      <c r="C132" s="153"/>
      <c r="D132" s="154"/>
      <c r="E132" s="94">
        <f ca="1">TblConstr[[#This Row],[Land]]</f>
        <v>110</v>
      </c>
      <c r="F132" s="94">
        <f ca="1">TblPop[[#This Row],[Peasants]]</f>
        <v>278</v>
      </c>
      <c r="G132" s="94">
        <f ca="1">TblMili[[#This Row],[Networth (2)]]</f>
        <v>2450</v>
      </c>
      <c r="H132" s="94">
        <f ca="1">OFFSET(TblProd[[#This Row],[Platinum]],-1,0)+OFFSET(TblProd[[#This Row],[Plat/hr]],-1,0) - TblProd[[#This Row],[Expenses Platinum]] + IF(TblProd[[#This Row],[Plat Bonus]],TblPop[[#This Row],[Peasants]]*4) + SUM(TblConstr[[#This Row],[Dest Hom]:[Dest Doc]])*TblConstr[[#This Row],[CPA Platinum -DB]]*tech_3_3_2*TblTech[[#This Row],[3-3]]</f>
        <v>225159</v>
      </c>
      <c r="I132" s="94">
        <f ca="1">OFFSET(TblProd[[#This Row],[Food]],-1,0)+OFFSET(TblProd[[#This Row],[Food/hr]],-1,0)+ROUNDUP((TblConstr[[#This Row],[Farms]]*80+TblConstr[[#This Row],[Docks]]*35)*(1+OFFSET(TblProd[[#This Row],[Bonus Food/hr]],-1,0)),0)</f>
        <v>171934</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750</v>
      </c>
      <c r="T132" s="94">
        <f ca="1">ROUND(TblProd[[#This Row],[Raw Food/hr]]*(1+TblProd[[#This Row],[Bonus Food/hr]])-TblProd[[#This Row],[Food decay]]-TblProd[[#This Row],[Food eaten]],0)</f>
        <v>592</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750.6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1719.3400000000001</v>
      </c>
      <c r="AP132" s="94">
        <f ca="1">(1+race_food_consumption)*TblPop[[#This Row],[Total]]*food_per_person*(1+tech_1_10*TblTech[[#This Row],[1-10]]+tech_7_5*TblTech[[#This Row],[7-5]] + IF(TblMagic[[#This Row],[Active Infernal Command]]&gt;0,demonic_pact_food_cons,0))</f>
        <v>269</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46107.083333333023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225159</v>
      </c>
      <c r="BJ132" s="94">
        <f ca="1">TblProd[[#This Row],[Food]]</f>
        <v>171934</v>
      </c>
      <c r="BK132" s="94">
        <f ca="1">TblProd[[#This Row],[Lumber]]</f>
        <v>76516</v>
      </c>
      <c r="BL132" s="94">
        <f ca="1">TblProd[[#This Row],[Mana]]</f>
        <v>0</v>
      </c>
      <c r="BM132" s="94">
        <f ca="1">TblProd[[#This Row],[Ore]]</f>
        <v>0</v>
      </c>
    </row>
    <row r="133" spans="1:65" x14ac:dyDescent="0.2">
      <c r="A133" s="137">
        <f t="shared" si="1"/>
        <v>94</v>
      </c>
      <c r="B133" s="152">
        <f ca="1">TblImps[[#This Row],[Time]]</f>
        <v>46107.124999999687</v>
      </c>
      <c r="C133" s="153"/>
      <c r="D133" s="154"/>
      <c r="E133" s="94">
        <f ca="1">TblConstr[[#This Row],[Land]]</f>
        <v>110</v>
      </c>
      <c r="F133" s="94">
        <f ca="1">TblPop[[#This Row],[Peasants]]</f>
        <v>275</v>
      </c>
      <c r="G133" s="94">
        <f ca="1">TblMili[[#This Row],[Networth (2)]]</f>
        <v>2450</v>
      </c>
      <c r="H133" s="94">
        <f ca="1">OFFSET(TblProd[[#This Row],[Platinum]],-1,0)+OFFSET(TblProd[[#This Row],[Plat/hr]],-1,0) - TblProd[[#This Row],[Expenses Platinum]] + IF(TblProd[[#This Row],[Plat Bonus]],TblPop[[#This Row],[Peasants]]*4) + SUM(TblConstr[[#This Row],[Dest Hom]:[Dest Doc]])*TblConstr[[#This Row],[CPA Platinum -DB]]*tech_3_3_2*TblTech[[#This Row],[3-3]]</f>
        <v>225909</v>
      </c>
      <c r="I133" s="94">
        <f ca="1">OFFSET(TblProd[[#This Row],[Food]],-1,0)+OFFSET(TblProd[[#This Row],[Food/hr]],-1,0)+ROUNDUP((TblConstr[[#This Row],[Farms]]*80+TblConstr[[#This Row],[Docks]]*35)*(1+OFFSET(TblProd[[#This Row],[Bonus Food/hr]],-1,0)),0)</f>
        <v>172526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742</v>
      </c>
      <c r="T133" s="94">
        <f ca="1">ROUND(TblProd[[#This Row],[Raw Food/hr]]*(1+TblProd[[#This Row],[Bonus Food/hr]])-TblProd[[#This Row],[Food decay]]-TblProd[[#This Row],[Food eaten]],0)</f>
        <v>586</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742.5</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1725.26</v>
      </c>
      <c r="AP133" s="94">
        <f ca="1">(1+race_food_consumption)*TblPop[[#This Row],[Total]]*food_per_person*(1+tech_1_10*TblTech[[#This Row],[1-10]]+tech_7_5*TblTech[[#This Row],[7-5]] + IF(TblMagic[[#This Row],[Active Infernal Command]]&gt;0,demonic_pact_food_cons,0))</f>
        <v>269</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46107.124999999687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225909</v>
      </c>
      <c r="BJ133" s="94">
        <f ca="1">TblProd[[#This Row],[Food]]</f>
        <v>172526</v>
      </c>
      <c r="BK133" s="94">
        <f ca="1">TblProd[[#This Row],[Lumber]]</f>
        <v>76751</v>
      </c>
      <c r="BL133" s="94">
        <f ca="1">TblProd[[#This Row],[Mana]]</f>
        <v>0</v>
      </c>
      <c r="BM133" s="94">
        <f ca="1">TblProd[[#This Row],[Ore]]</f>
        <v>0</v>
      </c>
    </row>
    <row r="134" spans="1:65" x14ac:dyDescent="0.2">
      <c r="A134" s="137">
        <f t="shared" si="1"/>
        <v>95</v>
      </c>
      <c r="B134" s="152">
        <f ca="1">TblImps[[#This Row],[Time]]</f>
        <v>46107.166666666351</v>
      </c>
      <c r="C134" s="153"/>
      <c r="D134" s="154"/>
      <c r="E134" s="94">
        <f ca="1">TblConstr[[#This Row],[Land]]</f>
        <v>110</v>
      </c>
      <c r="F134" s="94">
        <f ca="1">TblPop[[#This Row],[Peasants]]</f>
        <v>272</v>
      </c>
      <c r="G134" s="94">
        <f ca="1">TblMili[[#This Row],[Networth (2)]]</f>
        <v>2450</v>
      </c>
      <c r="H134" s="94">
        <f ca="1">OFFSET(TblProd[[#This Row],[Platinum]],-1,0)+OFFSET(TblProd[[#This Row],[Plat/hr]],-1,0) - TblProd[[#This Row],[Expenses Platinum]] + IF(TblProd[[#This Row],[Plat Bonus]],TblPop[[#This Row],[Peasants]]*4) + SUM(TblConstr[[#This Row],[Dest Hom]:[Dest Doc]])*TblConstr[[#This Row],[CPA Platinum -DB]]*tech_3_3_2*TblTech[[#This Row],[3-3]]</f>
        <v>226651</v>
      </c>
      <c r="I134" s="94">
        <f ca="1">OFFSET(TblProd[[#This Row],[Food]],-1,0)+OFFSET(TblProd[[#This Row],[Food/hr]],-1,0)+ROUNDUP((TblConstr[[#This Row],[Farms]]*80+TblConstr[[#This Row],[Docks]]*35)*(1+OFFSET(TblProd[[#This Row],[Bonus Food/hr]],-1,0)),0)</f>
        <v>173112</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734</v>
      </c>
      <c r="T134" s="94">
        <f ca="1">ROUND(TblProd[[#This Row],[Raw Food/hr]]*(1+TblProd[[#This Row],[Bonus Food/hr]])-TblProd[[#This Row],[Food decay]]-TblProd[[#This Row],[Food eaten]],0)</f>
        <v>580</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734.40000000000009</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1731.1200000000001</v>
      </c>
      <c r="AP134" s="94">
        <f ca="1">(1+race_food_consumption)*TblPop[[#This Row],[Total]]*food_per_person*(1+tech_1_10*TblTech[[#This Row],[1-10]]+tech_7_5*TblTech[[#This Row],[7-5]] + IF(TblMagic[[#This Row],[Active Infernal Command]]&gt;0,demonic_pact_food_cons,0))</f>
        <v>269</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46107.166666666351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226651</v>
      </c>
      <c r="BJ134" s="94">
        <f ca="1">TblProd[[#This Row],[Food]]</f>
        <v>173112</v>
      </c>
      <c r="BK134" s="94">
        <f ca="1">TblProd[[#This Row],[Lumber]]</f>
        <v>76983</v>
      </c>
      <c r="BL134" s="94">
        <f ca="1">TblProd[[#This Row],[Mana]]</f>
        <v>0</v>
      </c>
      <c r="BM134" s="94">
        <f ca="1">TblProd[[#This Row],[Ore]]</f>
        <v>0</v>
      </c>
    </row>
    <row r="135" spans="1:65" x14ac:dyDescent="0.2">
      <c r="A135" s="137">
        <f t="shared" si="1"/>
        <v>96</v>
      </c>
      <c r="B135" s="152">
        <f ca="1">TblImps[[#This Row],[Time]]</f>
        <v>46107.208333333016</v>
      </c>
      <c r="C135" s="153"/>
      <c r="D135" s="154"/>
      <c r="E135" s="94">
        <f ca="1">TblConstr[[#This Row],[Land]]</f>
        <v>110</v>
      </c>
      <c r="F135" s="94">
        <f ca="1">TblPop[[#This Row],[Peasants]]</f>
        <v>269</v>
      </c>
      <c r="G135" s="94">
        <f ca="1">TblMili[[#This Row],[Networth (2)]]</f>
        <v>2450</v>
      </c>
      <c r="H135" s="94">
        <f ca="1">OFFSET(TblProd[[#This Row],[Platinum]],-1,0)+OFFSET(TblProd[[#This Row],[Plat/hr]],-1,0) - TblProd[[#This Row],[Expenses Platinum]] + IF(TblProd[[#This Row],[Plat Bonus]],TblPop[[#This Row],[Peasants]]*4) + SUM(TblConstr[[#This Row],[Dest Hom]:[Dest Doc]])*TblConstr[[#This Row],[CPA Platinum -DB]]*tech_3_3_2*TblTech[[#This Row],[3-3]]</f>
        <v>227385</v>
      </c>
      <c r="I135" s="94">
        <f ca="1">OFFSET(TblProd[[#This Row],[Food]],-1,0)+OFFSET(TblProd[[#This Row],[Food/hr]],-1,0)+ROUNDUP((TblConstr[[#This Row],[Farms]]*80+TblConstr[[#This Row],[Docks]]*35)*(1+OFFSET(TblProd[[#This Row],[Bonus Food/hr]],-1,0)),0)</f>
        <v>173692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726</v>
      </c>
      <c r="T135" s="94">
        <f ca="1">ROUND(TblProd[[#This Row],[Raw Food/hr]]*(1+TblProd[[#This Row],[Bonus Food/hr]])-TblProd[[#This Row],[Food decay]]-TblProd[[#This Row],[Food eaten]],0)</f>
        <v>574</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726.30000000000007</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1736.92</v>
      </c>
      <c r="AP135" s="94">
        <f ca="1">(1+race_food_consumption)*TblPop[[#This Row],[Total]]*food_per_person*(1+tech_1_10*TblTech[[#This Row],[1-10]]+tech_7_5*TblTech[[#This Row],[7-5]] + IF(TblMagic[[#This Row],[Active Infernal Command]]&gt;0,demonic_pact_food_cons,0))</f>
        <v>269</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46107.208333333016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227385</v>
      </c>
      <c r="BJ135" s="94">
        <f ca="1">TblProd[[#This Row],[Food]]</f>
        <v>173692</v>
      </c>
      <c r="BK135" s="94">
        <f ca="1">TblProd[[#This Row],[Lumber]]</f>
        <v>77213</v>
      </c>
      <c r="BL135" s="94">
        <f ca="1">TblProd[[#This Row],[Mana]]</f>
        <v>0</v>
      </c>
      <c r="BM135" s="94">
        <f ca="1">TblProd[[#This Row],[Ore]]</f>
        <v>0</v>
      </c>
    </row>
    <row r="136" spans="1:65" x14ac:dyDescent="0.2">
      <c r="A136" s="137">
        <f t="shared" si="1"/>
        <v>97</v>
      </c>
      <c r="B136" s="152">
        <f ca="1">TblImps[[#This Row],[Time]]</f>
        <v>46107.24999999968</v>
      </c>
      <c r="C136" s="153"/>
      <c r="D136" s="154"/>
      <c r="E136" s="94">
        <f ca="1">TblConstr[[#This Row],[Land]]</f>
        <v>110</v>
      </c>
      <c r="F136" s="94">
        <f ca="1">TblPop[[#This Row],[Peasants]]</f>
        <v>266</v>
      </c>
      <c r="G136" s="94">
        <f ca="1">TblMili[[#This Row],[Networth (2)]]</f>
        <v>2450</v>
      </c>
      <c r="H136" s="94">
        <f ca="1">OFFSET(TblProd[[#This Row],[Platinum]],-1,0)+OFFSET(TblProd[[#This Row],[Plat/hr]],-1,0) - TblProd[[#This Row],[Expenses Platinum]] + IF(TblProd[[#This Row],[Plat Bonus]],TblPop[[#This Row],[Peasants]]*4) + SUM(TblConstr[[#This Row],[Dest Hom]:[Dest Doc]])*TblConstr[[#This Row],[CPA Platinum -DB]]*tech_3_3_2*TblTech[[#This Row],[3-3]]</f>
        <v>228111</v>
      </c>
      <c r="I136" s="94">
        <f ca="1">OFFSET(TblProd[[#This Row],[Food]],-1,0)+OFFSET(TblProd[[#This Row],[Food/hr]],-1,0)+ROUNDUP((TblConstr[[#This Row],[Farms]]*80+TblConstr[[#This Row],[Docks]]*35)*(1+OFFSET(TblProd[[#This Row],[Bonus Food/hr]],-1,0)),0)</f>
        <v>174266</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568</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1742.66</v>
      </c>
      <c r="AP136" s="94">
        <f ca="1">(1+race_food_consumption)*TblPop[[#This Row],[Total]]*food_per_person*(1+tech_1_10*TblTech[[#This Row],[1-10]]+tech_7_5*TblTech[[#This Row],[7-5]] + IF(TblMagic[[#This Row],[Active Infernal Command]]&gt;0,demonic_pact_food_cons,0))</f>
        <v>269</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46107.24999999968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228111</v>
      </c>
      <c r="BJ136" s="94">
        <f ca="1">TblProd[[#This Row],[Food]]</f>
        <v>174266</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7" priority="58" stopIfTrue="1">
      <formula>ROW()-2=#REF!</formula>
    </cfRule>
  </conditionalFormatting>
  <conditionalFormatting sqref="A1269:XFD1270">
    <cfRule type="expression" dxfId="76" priority="59" stopIfTrue="1">
      <formula>$C$1270&gt;144</formula>
    </cfRule>
  </conditionalFormatting>
  <conditionalFormatting sqref="E4:Q136">
    <cfRule type="expression" dxfId="75" priority="39" stopIfTrue="1">
      <formula>OR(ROW()-3=$C$1270,E4&lt;0)</formula>
    </cfRule>
  </conditionalFormatting>
  <conditionalFormatting sqref="BH4:BH136">
    <cfRule type="cellIs" dxfId="74" priority="61" stopIfTrue="1" operator="equal">
      <formula>"Nope"</formula>
    </cfRule>
  </conditionalFormatting>
  <conditionalFormatting sqref="A4:BM136">
    <cfRule type="expression" dxfId="73" priority="1" stopIfTrue="1">
      <formula>ROW()-3=$C$1270</formula>
    </cfRule>
    <cfRule type="expression" dxfId="72" priority="56">
      <formula>$A4="OOP"</formula>
    </cfRule>
    <cfRule type="expression" dxfId="71" priority="57">
      <formula>ROUND(($A4-1)/12,0)=INT($A4-1)/12</formula>
    </cfRule>
  </conditionalFormatting>
  <conditionalFormatting sqref="A1:XFD3">
    <cfRule type="expression" dxfId="70"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customWidth="1"/>
    <col min="96" max="96" width="9" style="57" customWidth="1"/>
    <col min="97" max="97" width="11.85546875" style="57" customWidth="1"/>
    <col min="98" max="98" width="6.85546875" style="57" customWidth="1"/>
    <col min="99" max="99" width="9.7109375" style="57" customWidth="1"/>
    <col min="100" max="100" width="9.5703125" style="57" customWidth="1"/>
    <col min="101" max="101" width="9" style="57" customWidth="1"/>
    <col min="102" max="102" width="11.85546875" style="45" customWidth="1"/>
    <col min="103" max="103" width="2.7109375" style="45" customWidth="1"/>
    <col min="104" max="114" width="10.7109375" style="45"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46101.75</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46101.75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hidden="1"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46101.791666666664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46101.791666666664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hidden="1"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46101.833333333328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46101.833333333328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hidden="1"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46101.874999999993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46101.874999999993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hidden="1"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46101.916666666657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46101.916666666657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hidden="1"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46101.958333333321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46101.958333333321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hidden="1"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46101.999999999985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46101.999999999985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hidden="1"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46102.04166666665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46102.04166666665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hidden="1"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46102.083333333314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46102.083333333314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hidden="1"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46102.124999999978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46102.124999999978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hidden="1"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46102.166666666642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46102.166666666642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hidden="1"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46102.208333333307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46102.208333333307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60</v>
      </c>
      <c r="C16" s="177">
        <f ca="1">SUM(TblConstr[[#This Row],[Tot Hom]:[Tot Doc]])</f>
        <v>50</v>
      </c>
      <c r="D16" s="177">
        <f t="shared" ref="D16:D46" si="2">SUM(O5:AG16)</f>
        <v>0</v>
      </c>
      <c r="E16" s="178"/>
      <c r="F16" s="61">
        <f ca="1">TblConstr[[#This Row],[Barren]]+TblConstr[[#This Row],[Buildings]]+TblConstr[[#This Row],[Incoming]]</f>
        <v>110</v>
      </c>
      <c r="G16" s="187">
        <f ca="1">OFFSET(TblConstr[[#This Row],[Plain]],-1,0)+TblConstr[[#This Row],[Ch_Plain]]</f>
        <v>60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46102.249999999971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6" s="94">
        <f ca="1">ROUNDDOWN( MAX(1 - MIN(facs_constr_factor*TblConstr[[#This Row],[Facs -DB]],facs_constr_max) + tech_1_11*TblTech[[#This Row],[11-1]] + tech_6_3_2*TblTech[[#This Row],[6-3]] + tech_5_2_3*TblTech[[#This Row],[5-2]], 1-global_constr_cap) * TblConstr[[#This Row],[RCPA Lumber]],0)</f>
        <v>48</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6" s="94">
        <f ca="1">ROUNDDOWN( MAX(1 - MIN(facs_constr_factor*TblConstr[[#This Row],[Facs DB]],facs_constr_max) + tech_1_11*TblTech[[#This Row],[1-11]] + tech_6_3_2*TblTech[[#This Row],[6-3]] + tech_5_2_3*TblTech[[#This Row],[5-2]], 1-global_constr_cap) * ROUND((TblConstr[[#This Row],[Land]]-250)*0.285 + 87.5 + 0/4.25,0),0)</f>
        <v>48</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Explore]],-12,0),60),0),SUM(TblConstr[[#This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675</v>
      </c>
      <c r="AW16" s="94">
        <f ca="1">ROUND((TblConstr[[#This Row],[Land]]-250 - IF(TblExplore[[#This Row],[Land Bonus]]&lt;&gt;0,20,0))*0.285 + 87.5 + 0/4.25,0)</f>
        <v>48</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110</v>
      </c>
      <c r="BU16" s="159">
        <f ca="1">TblImps[[#This Row],[Time]]</f>
        <v>46102.249999999971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Explore]],-12,0)+60,0)</f>
        <v>60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90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90</v>
      </c>
      <c r="DH16" s="45">
        <f ca="1">SUM(O5:O16)+AY16</f>
        <v>0</v>
      </c>
      <c r="DI16" s="45">
        <f t="shared" ca="1" si="0"/>
        <v>0</v>
      </c>
      <c r="DJ16" s="45">
        <f t="shared" ca="1" si="1"/>
        <v>0</v>
      </c>
    </row>
    <row r="17" spans="1:114" hidden="1" x14ac:dyDescent="0.2">
      <c r="A17" s="175">
        <f>TblRezone[[#This Row],[Hour]]</f>
        <v>14</v>
      </c>
      <c r="B17" s="176">
        <f ca="1">SUM(TblConstr[[#This Row],[Plain]:[Water]])</f>
        <v>60</v>
      </c>
      <c r="C17" s="177">
        <f ca="1">SUM(TblConstr[[#This Row],[Tot Hom]:[Tot Doc]])</f>
        <v>50</v>
      </c>
      <c r="D17" s="177">
        <f t="shared" si="2"/>
        <v>0</v>
      </c>
      <c r="E17" s="178"/>
      <c r="F17" s="61">
        <f ca="1">TblConstr[[#This Row],[Barren]]+TblConstr[[#This Row],[Buildings]]+TblConstr[[#This Row],[Incoming]]</f>
        <v>110</v>
      </c>
      <c r="G17" s="187">
        <f ca="1">OFFSET(TblConstr[[#This Row],[Plain]],-1,0)+TblConstr[[#This Row],[Ch_Plain]]</f>
        <v>60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46102.291666666635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68422</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7" s="94">
        <f ca="1">ROUNDDOWN( MAX(1 - MIN(facs_constr_factor*TblConstr[[#This Row],[Facs -DB]],facs_constr_max) + tech_1_11*TblTech[[#This Row],[11-1]] + tech_6_3_2*TblTech[[#This Row],[6-3]] + tech_5_2_3*TblTech[[#This Row],[5-2]], 1-global_constr_cap) * TblConstr[[#This Row],[RCPA Lumber]],0)</f>
        <v>48</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7" s="94">
        <f ca="1">ROUNDDOWN( MAX(1 - MIN(facs_constr_factor*TblConstr[[#This Row],[Facs DB]],facs_constr_max) + tech_1_11*TblTech[[#This Row],[1-11]] + tech_6_3_2*TblTech[[#This Row],[6-3]] + tech_5_2_3*TblTech[[#This Row],[5-2]], 1-global_constr_cap) * ROUND((TblConstr[[#This Row],[Land]]-250)*0.285 + 87.5 + 0/4.25,0),0)</f>
        <v>48</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675</v>
      </c>
      <c r="AW17" s="94">
        <f ca="1">ROUND((TblConstr[[#This Row],[Land]]-250 - IF(TblExplore[[#This Row],[Land Bonus]]&lt;&gt;0,20,0))*0.285 + 87.5 + 0/4.25,0)</f>
        <v>48</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110</v>
      </c>
      <c r="BU17" s="159">
        <f ca="1">TblImps[[#This Row],[Time]]</f>
        <v>46102.291666666635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90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90</v>
      </c>
      <c r="DH17" s="45">
        <f t="shared" ref="DH17:DH75" ca="1" si="10">SUM(O6:O17)+AY17</f>
        <v>0</v>
      </c>
      <c r="DI17" s="45">
        <f t="shared" ca="1" si="0"/>
        <v>0</v>
      </c>
      <c r="DJ17" s="45">
        <f t="shared" ca="1" si="1"/>
        <v>0</v>
      </c>
    </row>
    <row r="18" spans="1:114" hidden="1" x14ac:dyDescent="0.2">
      <c r="A18" s="175">
        <f>TblRezone[[#This Row],[Hour]]</f>
        <v>15</v>
      </c>
      <c r="B18" s="176">
        <f ca="1">SUM(TblConstr[[#This Row],[Plain]:[Water]])</f>
        <v>60</v>
      </c>
      <c r="C18" s="177">
        <f ca="1">SUM(TblConstr[[#This Row],[Tot Hom]:[Tot Doc]])</f>
        <v>50</v>
      </c>
      <c r="D18" s="177">
        <f t="shared" si="2"/>
        <v>0</v>
      </c>
      <c r="E18" s="178"/>
      <c r="F18" s="61">
        <f ca="1">TblConstr[[#This Row],[Barren]]+TblConstr[[#This Row],[Buildings]]+TblConstr[[#This Row],[Incoming]]</f>
        <v>110</v>
      </c>
      <c r="G18" s="187">
        <f ca="1">OFFSET(TblConstr[[#This Row],[Plain]],-1,0)+TblConstr[[#This Row],[Ch_Plain]]</f>
        <v>60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46102.333333333299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69998</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8" s="94">
        <f ca="1">ROUNDDOWN( MAX(1 - MIN(facs_constr_factor*TblConstr[[#This Row],[Facs -DB]],facs_constr_max) + tech_1_11*TblTech[[#This Row],[11-1]] + tech_6_3_2*TblTech[[#This Row],[6-3]] + tech_5_2_3*TblTech[[#This Row],[5-2]], 1-global_constr_cap) * TblConstr[[#This Row],[RCPA Lumber]],0)</f>
        <v>48</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8" s="94">
        <f ca="1">ROUNDDOWN( MAX(1 - MIN(facs_constr_factor*TblConstr[[#This Row],[Facs DB]],facs_constr_max) + tech_1_11*TblTech[[#This Row],[1-11]] + tech_6_3_2*TblTech[[#This Row],[6-3]] + tech_5_2_3*TblTech[[#This Row],[5-2]], 1-global_constr_cap) * ROUND((TblConstr[[#This Row],[Land]]-250)*0.285 + 87.5 + 0/4.25,0),0)</f>
        <v>48</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675</v>
      </c>
      <c r="AW18" s="94">
        <f ca="1">ROUND((TblConstr[[#This Row],[Land]]-250 - IF(TblExplore[[#This Row],[Land Bonus]]&lt;&gt;0,20,0))*0.285 + 87.5 + 0/4.25,0)</f>
        <v>48</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110</v>
      </c>
      <c r="BU18" s="159">
        <f ca="1">TblImps[[#This Row],[Time]]</f>
        <v>46102.333333333299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90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90</v>
      </c>
      <c r="DH18" s="45">
        <f t="shared" ca="1" si="10"/>
        <v>0</v>
      </c>
      <c r="DI18" s="45">
        <f t="shared" ca="1" si="0"/>
        <v>0</v>
      </c>
      <c r="DJ18" s="45">
        <f t="shared" ca="1" si="1"/>
        <v>0</v>
      </c>
    </row>
    <row r="19" spans="1:114" hidden="1" x14ac:dyDescent="0.2">
      <c r="A19" s="175">
        <f>TblRezone[[#This Row],[Hour]]</f>
        <v>16</v>
      </c>
      <c r="B19" s="176">
        <f ca="1">SUM(TblConstr[[#This Row],[Plain]:[Water]])</f>
        <v>60</v>
      </c>
      <c r="C19" s="177">
        <f ca="1">SUM(TblConstr[[#This Row],[Tot Hom]:[Tot Doc]])</f>
        <v>50</v>
      </c>
      <c r="D19" s="177">
        <f t="shared" si="2"/>
        <v>0</v>
      </c>
      <c r="E19" s="178"/>
      <c r="F19" s="61">
        <f ca="1">TblConstr[[#This Row],[Barren]]+TblConstr[[#This Row],[Buildings]]+TblConstr[[#This Row],[Incoming]]</f>
        <v>110</v>
      </c>
      <c r="G19" s="187">
        <f ca="1">OFFSET(TblConstr[[#This Row],[Plain]],-1,0)+TblConstr[[#This Row],[Ch_Plain]]</f>
        <v>60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46102.374999999964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71604</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9" s="94">
        <f ca="1">ROUNDDOWN( MAX(1 - MIN(facs_constr_factor*TblConstr[[#This Row],[Facs -DB]],facs_constr_max) + tech_1_11*TblTech[[#This Row],[11-1]] + tech_6_3_2*TblTech[[#This Row],[6-3]] + tech_5_2_3*TblTech[[#This Row],[5-2]], 1-global_constr_cap) * TblConstr[[#This Row],[RCPA Lumber]],0)</f>
        <v>48</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9" s="94">
        <f ca="1">ROUNDDOWN( MAX(1 - MIN(facs_constr_factor*TblConstr[[#This Row],[Facs DB]],facs_constr_max) + tech_1_11*TblTech[[#This Row],[1-11]] + tech_6_3_2*TblTech[[#This Row],[6-3]] + tech_5_2_3*TblTech[[#This Row],[5-2]], 1-global_constr_cap) * ROUND((TblConstr[[#This Row],[Land]]-250)*0.285 + 87.5 + 0/4.25,0),0)</f>
        <v>48</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675</v>
      </c>
      <c r="AW19" s="94">
        <f ca="1">ROUND((TblConstr[[#This Row],[Land]]-250 - IF(TblExplore[[#This Row],[Land Bonus]]&lt;&gt;0,20,0))*0.285 + 87.5 + 0/4.25,0)</f>
        <v>48</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110</v>
      </c>
      <c r="BU19" s="159">
        <f ca="1">TblImps[[#This Row],[Time]]</f>
        <v>46102.374999999964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90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90</v>
      </c>
      <c r="DH19" s="45">
        <f t="shared" ca="1" si="10"/>
        <v>0</v>
      </c>
      <c r="DI19" s="45">
        <f t="shared" ca="1" si="0"/>
        <v>0</v>
      </c>
      <c r="DJ19" s="45">
        <f t="shared" ca="1" si="1"/>
        <v>0</v>
      </c>
    </row>
    <row r="20" spans="1:114" hidden="1" x14ac:dyDescent="0.2">
      <c r="A20" s="175">
        <f>TblRezone[[#This Row],[Hour]]</f>
        <v>17</v>
      </c>
      <c r="B20" s="176">
        <f ca="1">SUM(TblConstr[[#This Row],[Plain]:[Water]])</f>
        <v>60</v>
      </c>
      <c r="C20" s="177">
        <f ca="1">SUM(TblConstr[[#This Row],[Tot Hom]:[Tot Doc]])</f>
        <v>50</v>
      </c>
      <c r="D20" s="177">
        <f t="shared" si="2"/>
        <v>0</v>
      </c>
      <c r="E20" s="178"/>
      <c r="F20" s="61">
        <f ca="1">TblConstr[[#This Row],[Barren]]+TblConstr[[#This Row],[Buildings]]+TblConstr[[#This Row],[Incoming]]</f>
        <v>110</v>
      </c>
      <c r="G20" s="187">
        <f ca="1">OFFSET(TblConstr[[#This Row],[Plain]],-1,0)+TblConstr[[#This Row],[Ch_Plain]]</f>
        <v>60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46102.416666666628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73242</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0" s="94">
        <f ca="1">ROUNDDOWN( MAX(1 - MIN(facs_constr_factor*TblConstr[[#This Row],[Facs -DB]],facs_constr_max) + tech_1_11*TblTech[[#This Row],[11-1]] + tech_6_3_2*TblTech[[#This Row],[6-3]] + tech_5_2_3*TblTech[[#This Row],[5-2]], 1-global_constr_cap) * TblConstr[[#This Row],[RCPA Lumber]],0)</f>
        <v>48</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0" s="94">
        <f ca="1">ROUNDDOWN( MAX(1 - MIN(facs_constr_factor*TblConstr[[#This Row],[Facs DB]],facs_constr_max) + tech_1_11*TblTech[[#This Row],[1-11]] + tech_6_3_2*TblTech[[#This Row],[6-3]] + tech_5_2_3*TblTech[[#This Row],[5-2]], 1-global_constr_cap) * ROUND((TblConstr[[#This Row],[Land]]-250)*0.285 + 87.5 + 0/4.25,0),0)</f>
        <v>48</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675</v>
      </c>
      <c r="AW20" s="94">
        <f ca="1">ROUND((TblConstr[[#This Row],[Land]]-250 - IF(TblExplore[[#This Row],[Land Bonus]]&lt;&gt;0,20,0))*0.285 + 87.5 + 0/4.25,0)</f>
        <v>48</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110</v>
      </c>
      <c r="BU20" s="159">
        <f ca="1">TblImps[[#This Row],[Time]]</f>
        <v>46102.416666666628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90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90</v>
      </c>
      <c r="DH20" s="45">
        <f t="shared" ca="1" si="10"/>
        <v>0</v>
      </c>
      <c r="DI20" s="45">
        <f t="shared" ca="1" si="0"/>
        <v>0</v>
      </c>
      <c r="DJ20" s="45">
        <f t="shared" ca="1" si="1"/>
        <v>0</v>
      </c>
    </row>
    <row r="21" spans="1:114" hidden="1" x14ac:dyDescent="0.2">
      <c r="A21" s="175">
        <f>TblRezone[[#This Row],[Hour]]</f>
        <v>18</v>
      </c>
      <c r="B21" s="176">
        <f ca="1">SUM(TblConstr[[#This Row],[Plain]:[Water]])</f>
        <v>60</v>
      </c>
      <c r="C21" s="177">
        <f ca="1">SUM(TblConstr[[#This Row],[Tot Hom]:[Tot Doc]])</f>
        <v>50</v>
      </c>
      <c r="D21" s="177">
        <f t="shared" si="2"/>
        <v>0</v>
      </c>
      <c r="E21" s="178"/>
      <c r="F21" s="61">
        <f ca="1">TblConstr[[#This Row],[Barren]]+TblConstr[[#This Row],[Buildings]]+TblConstr[[#This Row],[Incoming]]</f>
        <v>110</v>
      </c>
      <c r="G21" s="187">
        <f ca="1">OFFSET(TblConstr[[#This Row],[Plain]],-1,0)+TblConstr[[#This Row],[Ch_Plain]]</f>
        <v>60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46102.458333333292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74913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1" s="94">
        <f ca="1">ROUNDDOWN( MAX(1 - MIN(facs_constr_factor*TblConstr[[#This Row],[Facs -DB]],facs_constr_max) + tech_1_11*TblTech[[#This Row],[11-1]] + tech_6_3_2*TblTech[[#This Row],[6-3]] + tech_5_2_3*TblTech[[#This Row],[5-2]], 1-global_constr_cap) * TblConstr[[#This Row],[RCPA Lumber]],0)</f>
        <v>48</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1" s="94">
        <f ca="1">ROUNDDOWN( MAX(1 - MIN(facs_constr_factor*TblConstr[[#This Row],[Facs DB]],facs_constr_max) + tech_1_11*TblTech[[#This Row],[1-11]] + tech_6_3_2*TblTech[[#This Row],[6-3]] + tech_5_2_3*TblTech[[#This Row],[5-2]], 1-global_constr_cap) * ROUND((TblConstr[[#This Row],[Land]]-250)*0.285 + 87.5 + 0/4.25,0),0)</f>
        <v>48</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675</v>
      </c>
      <c r="AW21" s="94">
        <f ca="1">ROUND((TblConstr[[#This Row],[Land]]-250 - IF(TblExplore[[#This Row],[Land Bonus]]&lt;&gt;0,20,0))*0.285 + 87.5 + 0/4.25,0)</f>
        <v>48</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110</v>
      </c>
      <c r="BU21" s="159">
        <f ca="1">TblImps[[#This Row],[Time]]</f>
        <v>46102.458333333292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90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90</v>
      </c>
      <c r="DH21" s="45">
        <f t="shared" ca="1" si="10"/>
        <v>0</v>
      </c>
      <c r="DI21" s="45">
        <f t="shared" ca="1" si="0"/>
        <v>0</v>
      </c>
      <c r="DJ21" s="45">
        <f t="shared" ca="1" si="1"/>
        <v>0</v>
      </c>
    </row>
    <row r="22" spans="1:114" hidden="1" x14ac:dyDescent="0.2">
      <c r="A22" s="175">
        <f>TblRezone[[#This Row],[Hour]]</f>
        <v>19</v>
      </c>
      <c r="B22" s="176">
        <f ca="1">SUM(TblConstr[[#This Row],[Plain]:[Water]])</f>
        <v>60</v>
      </c>
      <c r="C22" s="177">
        <f ca="1">SUM(TblConstr[[#This Row],[Tot Hom]:[Tot Doc]])</f>
        <v>50</v>
      </c>
      <c r="D22" s="177">
        <f t="shared" si="2"/>
        <v>0</v>
      </c>
      <c r="E22" s="178"/>
      <c r="F22" s="61">
        <f ca="1">TblConstr[[#This Row],[Barren]]+TblConstr[[#This Row],[Buildings]]+TblConstr[[#This Row],[Incoming]]</f>
        <v>110</v>
      </c>
      <c r="G22" s="187">
        <f ca="1">OFFSET(TblConstr[[#This Row],[Plain]],-1,0)+TblConstr[[#This Row],[Ch_Plain]]</f>
        <v>60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46102.499999999956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76616</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2" s="94">
        <f ca="1">ROUNDDOWN( MAX(1 - MIN(facs_constr_factor*TblConstr[[#This Row],[Facs -DB]],facs_constr_max) + tech_1_11*TblTech[[#This Row],[11-1]] + tech_6_3_2*TblTech[[#This Row],[6-3]] + tech_5_2_3*TblTech[[#This Row],[5-2]], 1-global_constr_cap) * TblConstr[[#This Row],[RCPA Lumber]],0)</f>
        <v>48</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2" s="94">
        <f ca="1">ROUNDDOWN( MAX(1 - MIN(facs_constr_factor*TblConstr[[#This Row],[Facs DB]],facs_constr_max) + tech_1_11*TblTech[[#This Row],[1-11]] + tech_6_3_2*TblTech[[#This Row],[6-3]] + tech_5_2_3*TblTech[[#This Row],[5-2]], 1-global_constr_cap) * ROUND((TblConstr[[#This Row],[Land]]-250)*0.285 + 87.5 + 0/4.25,0),0)</f>
        <v>48</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675</v>
      </c>
      <c r="AW22" s="94">
        <f ca="1">ROUND((TblConstr[[#This Row],[Land]]-250 - IF(TblExplore[[#This Row],[Land Bonus]]&lt;&gt;0,20,0))*0.285 + 87.5 + 0/4.25,0)</f>
        <v>48</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110</v>
      </c>
      <c r="BU22" s="159">
        <f ca="1">TblImps[[#This Row],[Time]]</f>
        <v>46102.499999999956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90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90</v>
      </c>
      <c r="DH22" s="45">
        <f t="shared" ca="1" si="10"/>
        <v>0</v>
      </c>
      <c r="DI22" s="45">
        <f t="shared" ca="1" si="0"/>
        <v>0</v>
      </c>
      <c r="DJ22" s="45">
        <f t="shared" ca="1" si="1"/>
        <v>0</v>
      </c>
    </row>
    <row r="23" spans="1:114" hidden="1" x14ac:dyDescent="0.2">
      <c r="A23" s="175">
        <f>TblRezone[[#This Row],[Hour]]</f>
        <v>20</v>
      </c>
      <c r="B23" s="176">
        <f ca="1">SUM(TblConstr[[#This Row],[Plain]:[Water]])</f>
        <v>60</v>
      </c>
      <c r="C23" s="177">
        <f ca="1">SUM(TblConstr[[#This Row],[Tot Hom]:[Tot Doc]])</f>
        <v>50</v>
      </c>
      <c r="D23" s="177">
        <f t="shared" si="2"/>
        <v>0</v>
      </c>
      <c r="E23" s="178"/>
      <c r="F23" s="61">
        <f ca="1">TblConstr[[#This Row],[Barren]]+TblConstr[[#This Row],[Buildings]]+TblConstr[[#This Row],[Incoming]]</f>
        <v>110</v>
      </c>
      <c r="G23" s="187">
        <f ca="1">OFFSET(TblConstr[[#This Row],[Plain]],-1,0)+TblConstr[[#This Row],[Ch_Plain]]</f>
        <v>60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46102.541666666621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78354</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3" s="94">
        <f ca="1">ROUNDDOWN( MAX(1 - MIN(facs_constr_factor*TblConstr[[#This Row],[Facs -DB]],facs_constr_max) + tech_1_11*TblTech[[#This Row],[11-1]] + tech_6_3_2*TblTech[[#This Row],[6-3]] + tech_5_2_3*TblTech[[#This Row],[5-2]], 1-global_constr_cap) * TblConstr[[#This Row],[RCPA Lumber]],0)</f>
        <v>48</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3" s="94">
        <f ca="1">ROUNDDOWN( MAX(1 - MIN(facs_constr_factor*TblConstr[[#This Row],[Facs DB]],facs_constr_max) + tech_1_11*TblTech[[#This Row],[1-11]] + tech_6_3_2*TblTech[[#This Row],[6-3]] + tech_5_2_3*TblTech[[#This Row],[5-2]], 1-global_constr_cap) * ROUND((TblConstr[[#This Row],[Land]]-250)*0.285 + 87.5 + 0/4.25,0),0)</f>
        <v>48</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675</v>
      </c>
      <c r="AW23" s="94">
        <f ca="1">ROUND((TblConstr[[#This Row],[Land]]-250 - IF(TblExplore[[#This Row],[Land Bonus]]&lt;&gt;0,20,0))*0.285 + 87.5 + 0/4.25,0)</f>
        <v>48</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110</v>
      </c>
      <c r="BU23" s="159">
        <f ca="1">TblImps[[#This Row],[Time]]</f>
        <v>46102.541666666621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90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90</v>
      </c>
      <c r="DH23" s="45">
        <f t="shared" ca="1" si="10"/>
        <v>0</v>
      </c>
      <c r="DI23" s="45">
        <f t="shared" ca="1" si="0"/>
        <v>0</v>
      </c>
      <c r="DJ23" s="45">
        <f t="shared" ca="1" si="1"/>
        <v>0</v>
      </c>
    </row>
    <row r="24" spans="1:114" hidden="1" x14ac:dyDescent="0.2">
      <c r="A24" s="175">
        <f>TblRezone[[#This Row],[Hour]]</f>
        <v>21</v>
      </c>
      <c r="B24" s="176">
        <f ca="1">SUM(TblConstr[[#This Row],[Plain]:[Water]])</f>
        <v>60</v>
      </c>
      <c r="C24" s="177">
        <f ca="1">SUM(TblConstr[[#This Row],[Tot Hom]:[Tot Doc]])</f>
        <v>50</v>
      </c>
      <c r="D24" s="177">
        <f t="shared" si="2"/>
        <v>0</v>
      </c>
      <c r="E24" s="178"/>
      <c r="F24" s="61">
        <f ca="1">TblConstr[[#This Row],[Barren]]+TblConstr[[#This Row],[Buildings]]+TblConstr[[#This Row],[Incoming]]</f>
        <v>110</v>
      </c>
      <c r="G24" s="187">
        <f ca="1">OFFSET(TblConstr[[#This Row],[Plain]],-1,0)+TblConstr[[#This Row],[Ch_Plain]]</f>
        <v>60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46102.583333333285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80127</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4" s="94">
        <f ca="1">ROUNDDOWN( MAX(1 - MIN(facs_constr_factor*TblConstr[[#This Row],[Facs -DB]],facs_constr_max) + tech_1_11*TblTech[[#This Row],[11-1]] + tech_6_3_2*TblTech[[#This Row],[6-3]] + tech_5_2_3*TblTech[[#This Row],[5-2]], 1-global_constr_cap) * TblConstr[[#This Row],[RCPA Lumber]],0)</f>
        <v>48</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4" s="94">
        <f ca="1">ROUNDDOWN( MAX(1 - MIN(facs_constr_factor*TblConstr[[#This Row],[Facs DB]],facs_constr_max) + tech_1_11*TblTech[[#This Row],[1-11]] + tech_6_3_2*TblTech[[#This Row],[6-3]] + tech_5_2_3*TblTech[[#This Row],[5-2]], 1-global_constr_cap) * ROUND((TblConstr[[#This Row],[Land]]-250)*0.285 + 87.5 + 0/4.25,0),0)</f>
        <v>48</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675</v>
      </c>
      <c r="AW24" s="94">
        <f ca="1">ROUND((TblConstr[[#This Row],[Land]]-250 - IF(TblExplore[[#This Row],[Land Bonus]]&lt;&gt;0,20,0))*0.285 + 87.5 + 0/4.25,0)</f>
        <v>48</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110</v>
      </c>
      <c r="BU24" s="159">
        <f ca="1">TblImps[[#This Row],[Time]]</f>
        <v>46102.583333333285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90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90</v>
      </c>
      <c r="DH24" s="45">
        <f t="shared" ca="1" si="10"/>
        <v>0</v>
      </c>
      <c r="DI24" s="45">
        <f t="shared" ca="1" si="0"/>
        <v>0</v>
      </c>
      <c r="DJ24" s="45">
        <f t="shared" ca="1" si="1"/>
        <v>0</v>
      </c>
    </row>
    <row r="25" spans="1:114" hidden="1" x14ac:dyDescent="0.2">
      <c r="A25" s="175">
        <f>TblRezone[[#This Row],[Hour]]</f>
        <v>22</v>
      </c>
      <c r="B25" s="176">
        <f ca="1">SUM(TblConstr[[#This Row],[Plain]:[Water]])</f>
        <v>60</v>
      </c>
      <c r="C25" s="177">
        <f ca="1">SUM(TblConstr[[#This Row],[Tot Hom]:[Tot Doc]])</f>
        <v>50</v>
      </c>
      <c r="D25" s="177">
        <f t="shared" si="2"/>
        <v>0</v>
      </c>
      <c r="E25" s="178"/>
      <c r="F25" s="61">
        <f ca="1">TblConstr[[#This Row],[Barren]]+TblConstr[[#This Row],[Buildings]]+TblConstr[[#This Row],[Incoming]]</f>
        <v>110</v>
      </c>
      <c r="G25" s="187">
        <f ca="1">OFFSET(TblConstr[[#This Row],[Plain]],-1,0)+TblConstr[[#This Row],[Ch_Plain]]</f>
        <v>60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46102.624999999949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81936</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5" s="94">
        <f ca="1">ROUNDDOWN( MAX(1 - MIN(facs_constr_factor*TblConstr[[#This Row],[Facs -DB]],facs_constr_max) + tech_1_11*TblTech[[#This Row],[11-1]] + tech_6_3_2*TblTech[[#This Row],[6-3]] + tech_5_2_3*TblTech[[#This Row],[5-2]], 1-global_constr_cap) * TblConstr[[#This Row],[RCPA Lumber]],0)</f>
        <v>48</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5" s="94">
        <f ca="1">ROUNDDOWN( MAX(1 - MIN(facs_constr_factor*TblConstr[[#This Row],[Facs DB]],facs_constr_max) + tech_1_11*TblTech[[#This Row],[1-11]] + tech_6_3_2*TblTech[[#This Row],[6-3]] + tech_5_2_3*TblTech[[#This Row],[5-2]], 1-global_constr_cap) * ROUND((TblConstr[[#This Row],[Land]]-250)*0.285 + 87.5 + 0/4.25,0),0)</f>
        <v>48</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675</v>
      </c>
      <c r="AW25" s="94">
        <f ca="1">ROUND((TblConstr[[#This Row],[Land]]-250 - IF(TblExplore[[#This Row],[Land Bonus]]&lt;&gt;0,20,0))*0.285 + 87.5 + 0/4.25,0)</f>
        <v>48</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110</v>
      </c>
      <c r="BU25" s="159">
        <f ca="1">TblImps[[#This Row],[Time]]</f>
        <v>46102.624999999949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90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90</v>
      </c>
      <c r="DH25" s="45">
        <f t="shared" ca="1" si="10"/>
        <v>0</v>
      </c>
      <c r="DI25" s="45">
        <f t="shared" ca="1" si="0"/>
        <v>0</v>
      </c>
      <c r="DJ25" s="45">
        <f t="shared" ca="1" si="1"/>
        <v>0</v>
      </c>
    </row>
    <row r="26" spans="1:114" hidden="1" x14ac:dyDescent="0.2">
      <c r="A26" s="175">
        <f>TblRezone[[#This Row],[Hour]]</f>
        <v>23</v>
      </c>
      <c r="B26" s="176">
        <f ca="1">SUM(TblConstr[[#This Row],[Plain]:[Water]])</f>
        <v>60</v>
      </c>
      <c r="C26" s="177">
        <f ca="1">SUM(TblConstr[[#This Row],[Tot Hom]:[Tot Doc]])</f>
        <v>50</v>
      </c>
      <c r="D26" s="177">
        <f>SUM(O15:AG26)</f>
        <v>0</v>
      </c>
      <c r="E26" s="178"/>
      <c r="F26" s="61">
        <f ca="1">TblConstr[[#This Row],[Barren]]+TblConstr[[#This Row],[Buildings]]+TblConstr[[#This Row],[Incoming]]</f>
        <v>110</v>
      </c>
      <c r="G26" s="187">
        <f ca="1">OFFSET(TblConstr[[#This Row],[Plain]],-1,0)+TblConstr[[#This Row],[Ch_Plain]]</f>
        <v>60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46102.666666666613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83780</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6" s="94">
        <f ca="1">ROUNDDOWN( MAX(1 - MIN(facs_constr_factor*TblConstr[[#This Row],[Facs -DB]],facs_constr_max) + tech_1_11*TblTech[[#This Row],[11-1]] + tech_6_3_2*TblTech[[#This Row],[6-3]] + tech_5_2_3*TblTech[[#This Row],[5-2]], 1-global_constr_cap) * TblConstr[[#This Row],[RCPA Lumber]],0)</f>
        <v>48</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6" s="94">
        <f ca="1">ROUNDDOWN( MAX(1 - MIN(facs_constr_factor*TblConstr[[#This Row],[Facs DB]],facs_constr_max) + tech_1_11*TblTech[[#This Row],[1-11]] + tech_6_3_2*TblTech[[#This Row],[6-3]] + tech_5_2_3*TblTech[[#This Row],[5-2]], 1-global_constr_cap) * ROUND((TblConstr[[#This Row],[Land]]-250)*0.285 + 87.5 + 0/4.25,0),0)</f>
        <v>48</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675</v>
      </c>
      <c r="AW26" s="94">
        <f ca="1">ROUND((TblConstr[[#This Row],[Land]]-250 - IF(TblExplore[[#This Row],[Land Bonus]]&lt;&gt;0,20,0))*0.285 + 87.5 + 0/4.25,0)</f>
        <v>48</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110</v>
      </c>
      <c r="BU26" s="159">
        <f ca="1">TblImps[[#This Row],[Time]]</f>
        <v>46102.666666666613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90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90</v>
      </c>
      <c r="DH26" s="45">
        <f t="shared" ca="1" si="10"/>
        <v>0</v>
      </c>
      <c r="DI26" s="45">
        <f t="shared" ca="1" si="0"/>
        <v>0</v>
      </c>
      <c r="DJ26" s="45">
        <f t="shared" ca="1" si="1"/>
        <v>0</v>
      </c>
    </row>
    <row r="27" spans="1:114" hidden="1" x14ac:dyDescent="0.2">
      <c r="A27" s="175">
        <f>TblRezone[[#This Row],[Hour]]</f>
        <v>24</v>
      </c>
      <c r="B27" s="176">
        <f ca="1">SUM(TblConstr[[#This Row],[Plain]:[Water]])</f>
        <v>60</v>
      </c>
      <c r="C27" s="177">
        <f ca="1">SUM(TblConstr[[#This Row],[Tot Hom]:[Tot Doc]])</f>
        <v>50</v>
      </c>
      <c r="D27" s="177">
        <f t="shared" si="2"/>
        <v>0</v>
      </c>
      <c r="E27" s="178"/>
      <c r="F27" s="61">
        <f ca="1">TblConstr[[#This Row],[Barren]]+TblConstr[[#This Row],[Buildings]]+TblConstr[[#This Row],[Incoming]]</f>
        <v>110</v>
      </c>
      <c r="G27" s="187">
        <f ca="1">OFFSET(TblConstr[[#This Row],[Plain]],-1,0)+TblConstr[[#This Row],[Ch_Plain]]</f>
        <v>60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46102.708333333278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85659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7" s="94">
        <f ca="1">ROUNDDOWN( MAX(1 - MIN(facs_constr_factor*TblConstr[[#This Row],[Facs -DB]],facs_constr_max) + tech_1_11*TblTech[[#This Row],[11-1]] + tech_6_3_2*TblTech[[#This Row],[6-3]] + tech_5_2_3*TblTech[[#This Row],[5-2]], 1-global_constr_cap) * TblConstr[[#This Row],[RCPA Lumber]],0)</f>
        <v>48</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7" s="94">
        <f ca="1">ROUNDDOWN( MAX(1 - MIN(facs_constr_factor*TblConstr[[#This Row],[Facs DB]],facs_constr_max) + tech_1_11*TblTech[[#This Row],[1-11]] + tech_6_3_2*TblTech[[#This Row],[6-3]] + tech_5_2_3*TblTech[[#This Row],[5-2]], 1-global_constr_cap) * ROUND((TblConstr[[#This Row],[Land]]-250)*0.285 + 87.5 + 0/4.25,0),0)</f>
        <v>48</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675</v>
      </c>
      <c r="AW27" s="94">
        <f ca="1">ROUND((TblConstr[[#This Row],[Land]]-250 - IF(TblExplore[[#This Row],[Land Bonus]]&lt;&gt;0,20,0))*0.285 + 87.5 + 0/4.25,0)</f>
        <v>48</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110</v>
      </c>
      <c r="BU27" s="159">
        <f ca="1">TblImps[[#This Row],[Time]]</f>
        <v>46102.708333333278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90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90</v>
      </c>
      <c r="DH27" s="45">
        <f t="shared" ca="1" si="10"/>
        <v>0</v>
      </c>
      <c r="DI27" s="45">
        <f t="shared" ca="1" si="0"/>
        <v>0</v>
      </c>
      <c r="DJ27" s="45">
        <f t="shared" ca="1" si="1"/>
        <v>0</v>
      </c>
    </row>
    <row r="28" spans="1:114" x14ac:dyDescent="0.2">
      <c r="A28" s="175">
        <f>TblRezone[[#This Row],[Hour]]</f>
        <v>25</v>
      </c>
      <c r="B28" s="176">
        <f ca="1">SUM(TblConstr[[#This Row],[Plain]:[Water]])</f>
        <v>60</v>
      </c>
      <c r="C28" s="177">
        <f ca="1">SUM(TblConstr[[#This Row],[Tot Hom]:[Tot Doc]])</f>
        <v>50</v>
      </c>
      <c r="D28" s="177">
        <f t="shared" si="2"/>
        <v>0</v>
      </c>
      <c r="E28" s="178"/>
      <c r="F28" s="61">
        <f ca="1">TblConstr[[#This Row],[Barren]]+TblConstr[[#This Row],[Buildings]]+TblConstr[[#This Row],[Incoming]]</f>
        <v>110</v>
      </c>
      <c r="G28" s="187">
        <f ca="1">OFFSET(TblConstr[[#This Row],[Plain]],-1,0)+TblConstr[[#This Row],[Ch_Plain]]</f>
        <v>60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46102.749999999942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87576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8" s="94">
        <f ca="1">ROUNDDOWN( MAX(1 - MIN(facs_constr_factor*TblConstr[[#This Row],[Facs -DB]],facs_constr_max) + tech_1_11*TblTech[[#This Row],[11-1]] + tech_6_3_2*TblTech[[#This Row],[6-3]] + tech_5_2_3*TblTech[[#This Row],[5-2]], 1-global_constr_cap) * TblConstr[[#This Row],[RCPA Lumber]],0)</f>
        <v>48</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8" s="94">
        <f ca="1">ROUNDDOWN( MAX(1 - MIN(facs_constr_factor*TblConstr[[#This Row],[Facs DB]],facs_constr_max) + tech_1_11*TblTech[[#This Row],[1-11]] + tech_6_3_2*TblTech[[#This Row],[6-3]] + tech_5_2_3*TblTech[[#This Row],[5-2]], 1-global_constr_cap) * ROUND((TblConstr[[#This Row],[Land]]-250)*0.285 + 87.5 + 0/4.25,0),0)</f>
        <v>48</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675</v>
      </c>
      <c r="AW28" s="94">
        <f ca="1">ROUND((TblConstr[[#This Row],[Land]]-250 - IF(TblExplore[[#This Row],[Land Bonus]]&lt;&gt;0,20,0))*0.285 + 87.5 + 0/4.25,0)</f>
        <v>48</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110</v>
      </c>
      <c r="BU28" s="159">
        <f ca="1">TblImps[[#This Row],[Time]]</f>
        <v>46102.749999999942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90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90</v>
      </c>
      <c r="DH28" s="45">
        <f t="shared" ca="1" si="10"/>
        <v>0</v>
      </c>
      <c r="DI28" s="45">
        <f t="shared" ca="1" si="0"/>
        <v>0</v>
      </c>
      <c r="DJ28" s="45">
        <f t="shared" ca="1" si="1"/>
        <v>0</v>
      </c>
    </row>
    <row r="29" spans="1:114" x14ac:dyDescent="0.2">
      <c r="A29" s="175">
        <f>TblRezone[[#This Row],[Hour]]</f>
        <v>26</v>
      </c>
      <c r="B29" s="176">
        <f ca="1">SUM(TblConstr[[#This Row],[Plain]:[Water]])</f>
        <v>60</v>
      </c>
      <c r="C29" s="177">
        <f ca="1">SUM(TblConstr[[#This Row],[Tot Hom]:[Tot Doc]])</f>
        <v>50</v>
      </c>
      <c r="D29" s="177">
        <f t="shared" si="2"/>
        <v>0</v>
      </c>
      <c r="E29" s="178"/>
      <c r="F29" s="61">
        <f ca="1">TblConstr[[#This Row],[Barren]]+TblConstr[[#This Row],[Buildings]]+TblConstr[[#This Row],[Incoming]]</f>
        <v>110</v>
      </c>
      <c r="G29" s="187">
        <f ca="1">OFFSET(TblConstr[[#This Row],[Plain]],-1,0)+TblConstr[[#This Row],[Ch_Plain]]</f>
        <v>60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46102.791666666606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89530</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9" s="94">
        <f ca="1">ROUNDDOWN( MAX(1 - MIN(facs_constr_factor*TblConstr[[#This Row],[Facs -DB]],facs_constr_max) + tech_1_11*TblTech[[#This Row],[11-1]] + tech_6_3_2*TblTech[[#This Row],[6-3]] + tech_5_2_3*TblTech[[#This Row],[5-2]], 1-global_constr_cap) * TblConstr[[#This Row],[RCPA Lumber]],0)</f>
        <v>48</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9" s="94">
        <f ca="1">ROUNDDOWN( MAX(1 - MIN(facs_constr_factor*TblConstr[[#This Row],[Facs DB]],facs_constr_max) + tech_1_11*TblTech[[#This Row],[1-11]] + tech_6_3_2*TblTech[[#This Row],[6-3]] + tech_5_2_3*TblTech[[#This Row],[5-2]], 1-global_constr_cap) * ROUND((TblConstr[[#This Row],[Land]]-250)*0.285 + 87.5 + 0/4.25,0),0)</f>
        <v>48</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675</v>
      </c>
      <c r="AW29" s="94">
        <f ca="1">ROUND((TblConstr[[#This Row],[Land]]-250 - IF(TblExplore[[#This Row],[Land Bonus]]&lt;&gt;0,20,0))*0.285 + 87.5 + 0/4.25,0)</f>
        <v>48</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110</v>
      </c>
      <c r="BU29" s="159">
        <f ca="1">TblImps[[#This Row],[Time]]</f>
        <v>46102.791666666606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90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90</v>
      </c>
      <c r="DH29" s="45">
        <f t="shared" ca="1" si="10"/>
        <v>0</v>
      </c>
      <c r="DI29" s="45">
        <f t="shared" ca="1" si="0"/>
        <v>0</v>
      </c>
      <c r="DJ29" s="45">
        <f t="shared" ca="1" si="1"/>
        <v>0</v>
      </c>
    </row>
    <row r="30" spans="1:114" x14ac:dyDescent="0.2">
      <c r="A30" s="175">
        <f>TblRezone[[#This Row],[Hour]]</f>
        <v>27</v>
      </c>
      <c r="B30" s="176">
        <f ca="1">SUM(TblConstr[[#This Row],[Plain]:[Water]])</f>
        <v>60</v>
      </c>
      <c r="C30" s="177">
        <f ca="1">SUM(TblConstr[[#This Row],[Tot Hom]:[Tot Doc]])</f>
        <v>50</v>
      </c>
      <c r="D30" s="177">
        <f t="shared" si="2"/>
        <v>0</v>
      </c>
      <c r="E30" s="178"/>
      <c r="F30" s="61">
        <f ca="1">TblConstr[[#This Row],[Barren]]+TblConstr[[#This Row],[Buildings]]+TblConstr[[#This Row],[Incoming]]</f>
        <v>110</v>
      </c>
      <c r="G30" s="187">
        <f ca="1">OFFSET(TblConstr[[#This Row],[Plain]],-1,0)+TblConstr[[#This Row],[Ch_Plain]]</f>
        <v>60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46102.83333333327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91525</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0" s="94">
        <f ca="1">ROUNDDOWN( MAX(1 - MIN(facs_constr_factor*TblConstr[[#This Row],[Facs -DB]],facs_constr_max) + tech_1_11*TblTech[[#This Row],[11-1]] + tech_6_3_2*TblTech[[#This Row],[6-3]] + tech_5_2_3*TblTech[[#This Row],[5-2]], 1-global_constr_cap) * TblConstr[[#This Row],[RCPA Lumber]],0)</f>
        <v>48</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0" s="94">
        <f ca="1">ROUNDDOWN( MAX(1 - MIN(facs_constr_factor*TblConstr[[#This Row],[Facs DB]],facs_constr_max) + tech_1_11*TblTech[[#This Row],[1-11]] + tech_6_3_2*TblTech[[#This Row],[6-3]] + tech_5_2_3*TblTech[[#This Row],[5-2]], 1-global_constr_cap) * ROUND((TblConstr[[#This Row],[Land]]-250)*0.285 + 87.5 + 0/4.25,0),0)</f>
        <v>48</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675</v>
      </c>
      <c r="AW30" s="94">
        <f ca="1">ROUND((TblConstr[[#This Row],[Land]]-250 - IF(TblExplore[[#This Row],[Land Bonus]]&lt;&gt;0,20,0))*0.285 + 87.5 + 0/4.25,0)</f>
        <v>48</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110</v>
      </c>
      <c r="BU30" s="159">
        <f ca="1">TblImps[[#This Row],[Time]]</f>
        <v>46102.83333333327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90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90</v>
      </c>
      <c r="DH30" s="45">
        <f t="shared" ca="1" si="10"/>
        <v>0</v>
      </c>
      <c r="DI30" s="45">
        <f t="shared" ca="1" si="0"/>
        <v>0</v>
      </c>
      <c r="DJ30" s="45">
        <f t="shared" ca="1" si="1"/>
        <v>0</v>
      </c>
    </row>
    <row r="31" spans="1:114" x14ac:dyDescent="0.2">
      <c r="A31" s="175">
        <f>TblRezone[[#This Row],[Hour]]</f>
        <v>28</v>
      </c>
      <c r="B31" s="176">
        <f ca="1">SUM(TblConstr[[#This Row],[Plain]:[Water]])</f>
        <v>60</v>
      </c>
      <c r="C31" s="177">
        <f ca="1">SUM(TblConstr[[#This Row],[Tot Hom]:[Tot Doc]])</f>
        <v>50</v>
      </c>
      <c r="D31" s="177">
        <f t="shared" si="2"/>
        <v>0</v>
      </c>
      <c r="E31" s="178"/>
      <c r="F31" s="61">
        <f ca="1">TblConstr[[#This Row],[Barren]]+TblConstr[[#This Row],[Buildings]]+TblConstr[[#This Row],[Incoming]]</f>
        <v>110</v>
      </c>
      <c r="G31" s="187">
        <f ca="1">OFFSET(TblConstr[[#This Row],[Plain]],-1,0)+TblConstr[[#This Row],[Ch_Plain]]</f>
        <v>60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46102.874999999935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93560</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1" s="94">
        <f ca="1">ROUNDDOWN( MAX(1 - MIN(facs_constr_factor*TblConstr[[#This Row],[Facs -DB]],facs_constr_max) + tech_1_11*TblTech[[#This Row],[11-1]] + tech_6_3_2*TblTech[[#This Row],[6-3]] + tech_5_2_3*TblTech[[#This Row],[5-2]], 1-global_constr_cap) * TblConstr[[#This Row],[RCPA Lumber]],0)</f>
        <v>48</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1" s="94">
        <f ca="1">ROUNDDOWN( MAX(1 - MIN(facs_constr_factor*TblConstr[[#This Row],[Facs DB]],facs_constr_max) + tech_1_11*TblTech[[#This Row],[1-11]] + tech_6_3_2*TblTech[[#This Row],[6-3]] + tech_5_2_3*TblTech[[#This Row],[5-2]], 1-global_constr_cap) * ROUND((TblConstr[[#This Row],[Land]]-250)*0.285 + 87.5 + 0/4.25,0),0)</f>
        <v>48</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675</v>
      </c>
      <c r="AW31" s="94">
        <f ca="1">ROUND((TblConstr[[#This Row],[Land]]-250 - IF(TblExplore[[#This Row],[Land Bonus]]&lt;&gt;0,20,0))*0.285 + 87.5 + 0/4.25,0)</f>
        <v>48</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110</v>
      </c>
      <c r="BU31" s="159">
        <f ca="1">TblImps[[#This Row],[Time]]</f>
        <v>46102.874999999935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90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90</v>
      </c>
      <c r="DH31" s="45">
        <f t="shared" ca="1" si="10"/>
        <v>0</v>
      </c>
      <c r="DI31" s="45">
        <f t="shared" ca="1" si="0"/>
        <v>0</v>
      </c>
      <c r="DJ31" s="45">
        <f t="shared" ca="1" si="1"/>
        <v>0</v>
      </c>
    </row>
    <row r="32" spans="1:114" x14ac:dyDescent="0.2">
      <c r="A32" s="175">
        <f>TblRezone[[#This Row],[Hour]]</f>
        <v>29</v>
      </c>
      <c r="B32" s="176">
        <f ca="1">SUM(TblConstr[[#This Row],[Plain]:[Water]])</f>
        <v>60</v>
      </c>
      <c r="C32" s="177">
        <f ca="1">SUM(TblConstr[[#This Row],[Tot Hom]:[Tot Doc]])</f>
        <v>50</v>
      </c>
      <c r="D32" s="177">
        <f t="shared" si="2"/>
        <v>0</v>
      </c>
      <c r="E32" s="178"/>
      <c r="F32" s="61">
        <f ca="1">TblConstr[[#This Row],[Barren]]+TblConstr[[#This Row],[Buildings]]+TblConstr[[#This Row],[Incoming]]</f>
        <v>110</v>
      </c>
      <c r="G32" s="187">
        <f ca="1">OFFSET(TblConstr[[#This Row],[Plain]],-1,0)+TblConstr[[#This Row],[Ch_Plain]]</f>
        <v>60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46102.916666666599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95622</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2" s="94">
        <f ca="1">ROUNDDOWN( MAX(1 - MIN(facs_constr_factor*TblConstr[[#This Row],[Facs -DB]],facs_constr_max) + tech_1_11*TblTech[[#This Row],[11-1]] + tech_6_3_2*TblTech[[#This Row],[6-3]] + tech_5_2_3*TblTech[[#This Row],[5-2]], 1-global_constr_cap) * TblConstr[[#This Row],[RCPA Lumber]],0)</f>
        <v>48</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2" s="94">
        <f ca="1">ROUNDDOWN( MAX(1 - MIN(facs_constr_factor*TblConstr[[#This Row],[Facs DB]],facs_constr_max) + tech_1_11*TblTech[[#This Row],[1-11]] + tech_6_3_2*TblTech[[#This Row],[6-3]] + tech_5_2_3*TblTech[[#This Row],[5-2]], 1-global_constr_cap) * ROUND((TblConstr[[#This Row],[Land]]-250)*0.285 + 87.5 + 0/4.25,0),0)</f>
        <v>48</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675</v>
      </c>
      <c r="AW32" s="94">
        <f ca="1">ROUND((TblConstr[[#This Row],[Land]]-250 - IF(TblExplore[[#This Row],[Land Bonus]]&lt;&gt;0,20,0))*0.285 + 87.5 + 0/4.25,0)</f>
        <v>48</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110</v>
      </c>
      <c r="BU32" s="159">
        <f ca="1">TblImps[[#This Row],[Time]]</f>
        <v>46102.916666666599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90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90</v>
      </c>
      <c r="DH32" s="45">
        <f t="shared" ca="1" si="10"/>
        <v>0</v>
      </c>
      <c r="DI32" s="45">
        <f t="shared" ca="1" si="0"/>
        <v>0</v>
      </c>
      <c r="DJ32" s="45">
        <f t="shared" ca="1" si="1"/>
        <v>0</v>
      </c>
    </row>
    <row r="33" spans="1:114" x14ac:dyDescent="0.2">
      <c r="A33" s="175">
        <f>TblRezone[[#This Row],[Hour]]</f>
        <v>30</v>
      </c>
      <c r="B33" s="176">
        <f ca="1">SUM(TblConstr[[#This Row],[Plain]:[Water]])</f>
        <v>60</v>
      </c>
      <c r="C33" s="177">
        <f ca="1">SUM(TblConstr[[#This Row],[Tot Hom]:[Tot Doc]])</f>
        <v>50</v>
      </c>
      <c r="D33" s="177">
        <f t="shared" si="2"/>
        <v>0</v>
      </c>
      <c r="E33" s="178"/>
      <c r="F33" s="61">
        <f ca="1">TblConstr[[#This Row],[Barren]]+TblConstr[[#This Row],[Buildings]]+TblConstr[[#This Row],[Incoming]]</f>
        <v>110</v>
      </c>
      <c r="G33" s="187">
        <f ca="1">OFFSET(TblConstr[[#This Row],[Plain]],-1,0)+TblConstr[[#This Row],[Ch_Plain]]</f>
        <v>60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46102.958333333263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97663</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3" s="94">
        <f ca="1">ROUNDDOWN( MAX(1 - MIN(facs_constr_factor*TblConstr[[#This Row],[Facs -DB]],facs_constr_max) + tech_1_11*TblTech[[#This Row],[11-1]] + tech_6_3_2*TblTech[[#This Row],[6-3]] + tech_5_2_3*TblTech[[#This Row],[5-2]], 1-global_constr_cap) * TblConstr[[#This Row],[RCPA Lumber]],0)</f>
        <v>48</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3" s="94">
        <f ca="1">ROUNDDOWN( MAX(1 - MIN(facs_constr_factor*TblConstr[[#This Row],[Facs DB]],facs_constr_max) + tech_1_11*TblTech[[#This Row],[1-11]] + tech_6_3_2*TblTech[[#This Row],[6-3]] + tech_5_2_3*TblTech[[#This Row],[5-2]], 1-global_constr_cap) * ROUND((TblConstr[[#This Row],[Land]]-250)*0.285 + 87.5 + 0/4.25,0),0)</f>
        <v>48</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675</v>
      </c>
      <c r="AW33" s="94">
        <f ca="1">ROUND((TblConstr[[#This Row],[Land]]-250 - IF(TblExplore[[#This Row],[Land Bonus]]&lt;&gt;0,20,0))*0.285 + 87.5 + 0/4.25,0)</f>
        <v>48</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110</v>
      </c>
      <c r="BU33" s="159">
        <f ca="1">TblImps[[#This Row],[Time]]</f>
        <v>46102.958333333263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90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90</v>
      </c>
      <c r="DH33" s="45">
        <f t="shared" ca="1" si="10"/>
        <v>0</v>
      </c>
      <c r="DI33" s="45">
        <f t="shared" ca="1" si="0"/>
        <v>0</v>
      </c>
      <c r="DJ33" s="45">
        <f t="shared" ca="1" si="1"/>
        <v>0</v>
      </c>
    </row>
    <row r="34" spans="1:114" x14ac:dyDescent="0.2">
      <c r="A34" s="175">
        <f>TblRezone[[#This Row],[Hour]]</f>
        <v>31</v>
      </c>
      <c r="B34" s="176">
        <f ca="1">SUM(TblConstr[[#This Row],[Plain]:[Water]])</f>
        <v>60</v>
      </c>
      <c r="C34" s="177">
        <f ca="1">SUM(TblConstr[[#This Row],[Tot Hom]:[Tot Doc]])</f>
        <v>50</v>
      </c>
      <c r="D34" s="177">
        <f t="shared" si="2"/>
        <v>0</v>
      </c>
      <c r="E34" s="178"/>
      <c r="F34" s="61">
        <f ca="1">TblConstr[[#This Row],[Barren]]+TblConstr[[#This Row],[Buildings]]+TblConstr[[#This Row],[Incoming]]</f>
        <v>110</v>
      </c>
      <c r="G34" s="187">
        <f ca="1">OFFSET(TblConstr[[#This Row],[Plain]],-1,0)+TblConstr[[#This Row],[Ch_Plain]]</f>
        <v>60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46102.999999999927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99682</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4" s="94">
        <f ca="1">ROUNDDOWN( MAX(1 - MIN(facs_constr_factor*TblConstr[[#This Row],[Facs -DB]],facs_constr_max) + tech_1_11*TblTech[[#This Row],[11-1]] + tech_6_3_2*TblTech[[#This Row],[6-3]] + tech_5_2_3*TblTech[[#This Row],[5-2]], 1-global_constr_cap) * TblConstr[[#This Row],[RCPA Lumber]],0)</f>
        <v>48</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4" s="94">
        <f ca="1">ROUNDDOWN( MAX(1 - MIN(facs_constr_factor*TblConstr[[#This Row],[Facs DB]],facs_constr_max) + tech_1_11*TblTech[[#This Row],[1-11]] + tech_6_3_2*TblTech[[#This Row],[6-3]] + tech_5_2_3*TblTech[[#This Row],[5-2]], 1-global_constr_cap) * ROUND((TblConstr[[#This Row],[Land]]-250)*0.285 + 87.5 + 0/4.25,0),0)</f>
        <v>48</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675</v>
      </c>
      <c r="AW34" s="94">
        <f ca="1">ROUND((TblConstr[[#This Row],[Land]]-250 - IF(TblExplore[[#This Row],[Land Bonus]]&lt;&gt;0,20,0))*0.285 + 87.5 + 0/4.25,0)</f>
        <v>48</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110</v>
      </c>
      <c r="BU34" s="159">
        <f ca="1">TblImps[[#This Row],[Time]]</f>
        <v>46102.999999999927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90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90</v>
      </c>
      <c r="DH34" s="45">
        <f t="shared" ca="1" si="10"/>
        <v>0</v>
      </c>
      <c r="DI34" s="45">
        <f t="shared" ca="1" si="0"/>
        <v>0</v>
      </c>
      <c r="DJ34" s="45">
        <f t="shared" ca="1" si="1"/>
        <v>0</v>
      </c>
    </row>
    <row r="35" spans="1:114" x14ac:dyDescent="0.2">
      <c r="A35" s="175">
        <f>TblRezone[[#This Row],[Hour]]</f>
        <v>32</v>
      </c>
      <c r="B35" s="176">
        <f ca="1">SUM(TblConstr[[#This Row],[Plain]:[Water]])</f>
        <v>60</v>
      </c>
      <c r="C35" s="177">
        <f ca="1">SUM(TblConstr[[#This Row],[Tot Hom]:[Tot Doc]])</f>
        <v>50</v>
      </c>
      <c r="D35" s="177">
        <f t="shared" si="2"/>
        <v>0</v>
      </c>
      <c r="E35" s="178"/>
      <c r="F35" s="61">
        <f ca="1">TblConstr[[#This Row],[Barren]]+TblConstr[[#This Row],[Buildings]]+TblConstr[[#This Row],[Incoming]]</f>
        <v>110</v>
      </c>
      <c r="G35" s="187">
        <f ca="1">OFFSET(TblConstr[[#This Row],[Plain]],-1,0)+TblConstr[[#This Row],[Ch_Plain]]</f>
        <v>60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46103.041666666591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101682</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5" s="94">
        <f ca="1">ROUNDDOWN( MAX(1 - MIN(facs_constr_factor*TblConstr[[#This Row],[Facs -DB]],facs_constr_max) + tech_1_11*TblTech[[#This Row],[11-1]] + tech_6_3_2*TblTech[[#This Row],[6-3]] + tech_5_2_3*TblTech[[#This Row],[5-2]], 1-global_constr_cap) * TblConstr[[#This Row],[RCPA Lumber]],0)</f>
        <v>48</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5" s="94">
        <f ca="1">ROUNDDOWN( MAX(1 - MIN(facs_constr_factor*TblConstr[[#This Row],[Facs DB]],facs_constr_max) + tech_1_11*TblTech[[#This Row],[1-11]] + tech_6_3_2*TblTech[[#This Row],[6-3]] + tech_5_2_3*TblTech[[#This Row],[5-2]], 1-global_constr_cap) * ROUND((TblConstr[[#This Row],[Land]]-250)*0.285 + 87.5 + 0/4.25,0),0)</f>
        <v>48</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675</v>
      </c>
      <c r="AW35" s="94">
        <f ca="1">ROUND((TblConstr[[#This Row],[Land]]-250 - IF(TblExplore[[#This Row],[Land Bonus]]&lt;&gt;0,20,0))*0.285 + 87.5 + 0/4.25,0)</f>
        <v>48</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110</v>
      </c>
      <c r="BU35" s="159">
        <f ca="1">TblImps[[#This Row],[Time]]</f>
        <v>46103.041666666591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90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90</v>
      </c>
      <c r="DH35" s="45">
        <f t="shared" ca="1" si="10"/>
        <v>0</v>
      </c>
      <c r="DI35" s="45">
        <f t="shared" ca="1" si="0"/>
        <v>0</v>
      </c>
      <c r="DJ35" s="45">
        <f t="shared" ca="1" si="1"/>
        <v>0</v>
      </c>
    </row>
    <row r="36" spans="1:114" x14ac:dyDescent="0.2">
      <c r="A36" s="175">
        <f>TblRezone[[#This Row],[Hour]]</f>
        <v>33</v>
      </c>
      <c r="B36" s="176">
        <f ca="1">SUM(TblConstr[[#This Row],[Plain]:[Water]])</f>
        <v>60</v>
      </c>
      <c r="C36" s="177">
        <f ca="1">SUM(TblConstr[[#This Row],[Tot Hom]:[Tot Doc]])</f>
        <v>50</v>
      </c>
      <c r="D36" s="177">
        <f t="shared" si="2"/>
        <v>0</v>
      </c>
      <c r="E36" s="178"/>
      <c r="F36" s="61">
        <f ca="1">TblConstr[[#This Row],[Barren]]+TblConstr[[#This Row],[Buildings]]+TblConstr[[#This Row],[Incoming]]</f>
        <v>110</v>
      </c>
      <c r="G36" s="187">
        <f ca="1">OFFSET(TblConstr[[#This Row],[Plain]],-1,0)+TblConstr[[#This Row],[Ch_Plain]]</f>
        <v>60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46103.083333333256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103663</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6" s="94">
        <f ca="1">ROUNDDOWN( MAX(1 - MIN(facs_constr_factor*TblConstr[[#This Row],[Facs -DB]],facs_constr_max) + tech_1_11*TblTech[[#This Row],[11-1]] + tech_6_3_2*TblTech[[#This Row],[6-3]] + tech_5_2_3*TblTech[[#This Row],[5-2]], 1-global_constr_cap) * TblConstr[[#This Row],[RCPA Lumber]],0)</f>
        <v>48</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6" s="94">
        <f ca="1">ROUNDDOWN( MAX(1 - MIN(facs_constr_factor*TblConstr[[#This Row],[Facs DB]],facs_constr_max) + tech_1_11*TblTech[[#This Row],[1-11]] + tech_6_3_2*TblTech[[#This Row],[6-3]] + tech_5_2_3*TblTech[[#This Row],[5-2]], 1-global_constr_cap) * ROUND((TblConstr[[#This Row],[Land]]-250)*0.285 + 87.5 + 0/4.25,0),0)</f>
        <v>48</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675</v>
      </c>
      <c r="AW36" s="94">
        <f ca="1">ROUND((TblConstr[[#This Row],[Land]]-250 - IF(TblExplore[[#This Row],[Land Bonus]]&lt;&gt;0,20,0))*0.285 + 87.5 + 0/4.25,0)</f>
        <v>48</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110</v>
      </c>
      <c r="BU36" s="159">
        <f ca="1">TblImps[[#This Row],[Time]]</f>
        <v>46103.083333333256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90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90</v>
      </c>
      <c r="DH36" s="45">
        <f t="shared" ca="1" si="10"/>
        <v>0</v>
      </c>
      <c r="DI36" s="45">
        <f t="shared" ca="1" si="0"/>
        <v>0</v>
      </c>
      <c r="DJ36" s="45">
        <f t="shared" ca="1" si="1"/>
        <v>0</v>
      </c>
    </row>
    <row r="37" spans="1:114" x14ac:dyDescent="0.2">
      <c r="A37" s="175">
        <f>TblRezone[[#This Row],[Hour]]</f>
        <v>34</v>
      </c>
      <c r="B37" s="176">
        <f ca="1">SUM(TblConstr[[#This Row],[Plain]:[Water]])</f>
        <v>60</v>
      </c>
      <c r="C37" s="177">
        <f ca="1">SUM(TblConstr[[#This Row],[Tot Hom]:[Tot Doc]])</f>
        <v>50</v>
      </c>
      <c r="D37" s="177">
        <f t="shared" si="2"/>
        <v>0</v>
      </c>
      <c r="E37" s="178"/>
      <c r="F37" s="61">
        <f ca="1">TblConstr[[#This Row],[Barren]]+TblConstr[[#This Row],[Buildings]]+TblConstr[[#This Row],[Incoming]]</f>
        <v>110</v>
      </c>
      <c r="G37" s="187">
        <f ca="1">OFFSET(TblConstr[[#This Row],[Plain]],-1,0)+TblConstr[[#This Row],[Ch_Plain]]</f>
        <v>60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46103.12499999992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105625</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7" s="94">
        <f ca="1">ROUNDDOWN( MAX(1 - MIN(facs_constr_factor*TblConstr[[#This Row],[Facs -DB]],facs_constr_max) + tech_1_11*TblTech[[#This Row],[11-1]] + tech_6_3_2*TblTech[[#This Row],[6-3]] + tech_5_2_3*TblTech[[#This Row],[5-2]], 1-global_constr_cap) * TblConstr[[#This Row],[RCPA Lumber]],0)</f>
        <v>48</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7" s="94">
        <f ca="1">ROUNDDOWN( MAX(1 - MIN(facs_constr_factor*TblConstr[[#This Row],[Facs DB]],facs_constr_max) + tech_1_11*TblTech[[#This Row],[1-11]] + tech_6_3_2*TblTech[[#This Row],[6-3]] + tech_5_2_3*TblTech[[#This Row],[5-2]], 1-global_constr_cap) * ROUND((TblConstr[[#This Row],[Land]]-250)*0.285 + 87.5 + 0/4.25,0),0)</f>
        <v>48</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675</v>
      </c>
      <c r="AW37" s="94">
        <f ca="1">ROUND((TblConstr[[#This Row],[Land]]-250 - IF(TblExplore[[#This Row],[Land Bonus]]&lt;&gt;0,20,0))*0.285 + 87.5 + 0/4.25,0)</f>
        <v>48</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110</v>
      </c>
      <c r="BU37" s="159">
        <f ca="1">TblImps[[#This Row],[Time]]</f>
        <v>46103.12499999992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90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90</v>
      </c>
      <c r="DH37" s="45">
        <f t="shared" ca="1" si="10"/>
        <v>0</v>
      </c>
      <c r="DI37" s="45">
        <f t="shared" ca="1" si="0"/>
        <v>0</v>
      </c>
      <c r="DJ37" s="45">
        <f t="shared" ca="1" si="1"/>
        <v>0</v>
      </c>
    </row>
    <row r="38" spans="1:114" x14ac:dyDescent="0.2">
      <c r="A38" s="175">
        <f>TblRezone[[#This Row],[Hour]]</f>
        <v>35</v>
      </c>
      <c r="B38" s="176">
        <f ca="1">SUM(TblConstr[[#This Row],[Plain]:[Water]])</f>
        <v>60</v>
      </c>
      <c r="C38" s="177">
        <f ca="1">SUM(TblConstr[[#This Row],[Tot Hom]:[Tot Doc]])</f>
        <v>50</v>
      </c>
      <c r="D38" s="177">
        <f t="shared" si="2"/>
        <v>0</v>
      </c>
      <c r="E38" s="178"/>
      <c r="F38" s="61">
        <f ca="1">TblConstr[[#This Row],[Barren]]+TblConstr[[#This Row],[Buildings]]+TblConstr[[#This Row],[Incoming]]</f>
        <v>110</v>
      </c>
      <c r="G38" s="187">
        <f ca="1">OFFSET(TblConstr[[#This Row],[Plain]],-1,0)+TblConstr[[#This Row],[Ch_Plain]]</f>
        <v>60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46103.166666666584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107569</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8" s="94">
        <f ca="1">ROUNDDOWN( MAX(1 - MIN(facs_constr_factor*TblConstr[[#This Row],[Facs -DB]],facs_constr_max) + tech_1_11*TblTech[[#This Row],[11-1]] + tech_6_3_2*TblTech[[#This Row],[6-3]] + tech_5_2_3*TblTech[[#This Row],[5-2]], 1-global_constr_cap) * TblConstr[[#This Row],[RCPA Lumber]],0)</f>
        <v>48</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8" s="94">
        <f ca="1">ROUNDDOWN( MAX(1 - MIN(facs_constr_factor*TblConstr[[#This Row],[Facs DB]],facs_constr_max) + tech_1_11*TblTech[[#This Row],[1-11]] + tech_6_3_2*TblTech[[#This Row],[6-3]] + tech_5_2_3*TblTech[[#This Row],[5-2]], 1-global_constr_cap) * ROUND((TblConstr[[#This Row],[Land]]-250)*0.285 + 87.5 + 0/4.25,0),0)</f>
        <v>48</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675</v>
      </c>
      <c r="AW38" s="94">
        <f ca="1">ROUND((TblConstr[[#This Row],[Land]]-250 - IF(TblExplore[[#This Row],[Land Bonus]]&lt;&gt;0,20,0))*0.285 + 87.5 + 0/4.25,0)</f>
        <v>48</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110</v>
      </c>
      <c r="BU38" s="159">
        <f ca="1">TblImps[[#This Row],[Time]]</f>
        <v>46103.166666666584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90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90</v>
      </c>
      <c r="DH38" s="45">
        <f t="shared" ca="1" si="10"/>
        <v>0</v>
      </c>
      <c r="DI38" s="45">
        <f t="shared" ca="1" si="0"/>
        <v>0</v>
      </c>
      <c r="DJ38" s="45">
        <f t="shared" ca="1" si="1"/>
        <v>0</v>
      </c>
    </row>
    <row r="39" spans="1:114" x14ac:dyDescent="0.2">
      <c r="A39" s="175">
        <f>TblRezone[[#This Row],[Hour]]</f>
        <v>36</v>
      </c>
      <c r="B39" s="176">
        <f ca="1">SUM(TblConstr[[#This Row],[Plain]:[Water]])</f>
        <v>60</v>
      </c>
      <c r="C39" s="177">
        <f ca="1">SUM(TblConstr[[#This Row],[Tot Hom]:[Tot Doc]])</f>
        <v>50</v>
      </c>
      <c r="D39" s="177">
        <f t="shared" si="2"/>
        <v>0</v>
      </c>
      <c r="E39" s="178"/>
      <c r="F39" s="61">
        <f ca="1">TblConstr[[#This Row],[Barren]]+TblConstr[[#This Row],[Buildings]]+TblConstr[[#This Row],[Incoming]]</f>
        <v>110</v>
      </c>
      <c r="G39" s="187">
        <f ca="1">OFFSET(TblConstr[[#This Row],[Plain]],-1,0)+TblConstr[[#This Row],[Ch_Plain]]</f>
        <v>60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46103.208333333248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109494</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9" s="94">
        <f ca="1">ROUNDDOWN( MAX(1 - MIN(facs_constr_factor*TblConstr[[#This Row],[Facs -DB]],facs_constr_max) + tech_1_11*TblTech[[#This Row],[11-1]] + tech_6_3_2*TblTech[[#This Row],[6-3]] + tech_5_2_3*TblTech[[#This Row],[5-2]], 1-global_constr_cap) * TblConstr[[#This Row],[RCPA Lumber]],0)</f>
        <v>48</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9" s="94">
        <f ca="1">ROUNDDOWN( MAX(1 - MIN(facs_constr_factor*TblConstr[[#This Row],[Facs DB]],facs_constr_max) + tech_1_11*TblTech[[#This Row],[1-11]] + tech_6_3_2*TblTech[[#This Row],[6-3]] + tech_5_2_3*TblTech[[#This Row],[5-2]], 1-global_constr_cap) * ROUND((TblConstr[[#This Row],[Land]]-250)*0.285 + 87.5 + 0/4.25,0),0)</f>
        <v>48</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675</v>
      </c>
      <c r="AW39" s="94">
        <f ca="1">ROUND((TblConstr[[#This Row],[Land]]-250 - IF(TblExplore[[#This Row],[Land Bonus]]&lt;&gt;0,20,0))*0.285 + 87.5 + 0/4.25,0)</f>
        <v>48</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110</v>
      </c>
      <c r="BU39" s="159">
        <f ca="1">TblImps[[#This Row],[Time]]</f>
        <v>46103.208333333248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90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90</v>
      </c>
      <c r="DH39" s="45">
        <f t="shared" ca="1" si="10"/>
        <v>0</v>
      </c>
      <c r="DI39" s="45">
        <f t="shared" ca="1" si="0"/>
        <v>0</v>
      </c>
      <c r="DJ39" s="45">
        <f t="shared" ca="1" si="1"/>
        <v>0</v>
      </c>
    </row>
    <row r="40" spans="1:114" s="5" customFormat="1" x14ac:dyDescent="0.2">
      <c r="A40" s="193">
        <f>TblRezone[[#This Row],[Hour]]</f>
        <v>37</v>
      </c>
      <c r="B40" s="434">
        <f ca="1">SUM(TblConstr[[#This Row],[Plain]:[Water]])</f>
        <v>60</v>
      </c>
      <c r="C40" s="173">
        <f ca="1">SUM(TblConstr[[#This Row],[Tot Hom]:[Tot Doc]])</f>
        <v>50</v>
      </c>
      <c r="D40" s="173">
        <f t="shared" si="2"/>
        <v>0</v>
      </c>
      <c r="E40" s="194"/>
      <c r="F40" s="148">
        <f ca="1">TblConstr[[#This Row],[Barren]]+TblConstr[[#This Row],[Buildings]]+TblConstr[[#This Row],[Incoming]]</f>
        <v>110</v>
      </c>
      <c r="G40" s="195">
        <f ca="1">OFFSET(TblConstr[[#This Row],[Plain]],-1,0)+TblConstr[[#This Row],[Ch_Plain]]</f>
        <v>60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46103.249999999913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111400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0" s="35">
        <f ca="1">ROUNDDOWN( MAX(1 - MIN(facs_constr_factor*TblConstr[[#This Row],[Facs -DB]],facs_constr_max) + tech_1_11*TblTech[[#This Row],[11-1]] + tech_6_3_2*TblTech[[#This Row],[6-3]] + tech_5_2_3*TblTech[[#This Row],[5-2]], 1-global_constr_cap) * TblConstr[[#This Row],[RCPA Lumber]],0)</f>
        <v>48</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0" s="35">
        <f ca="1">ROUNDDOWN( MAX(1 - MIN(facs_constr_factor*TblConstr[[#This Row],[Facs DB]],facs_constr_max) + tech_1_11*TblTech[[#This Row],[1-11]] + tech_6_3_2*TblTech[[#This Row],[6-3]] + tech_5_2_3*TblTech[[#This Row],[5-2]], 1-global_constr_cap) * ROUND((TblConstr[[#This Row],[Land]]-250)*0.285 + 87.5 + 0/4.25,0),0)</f>
        <v>48</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675</v>
      </c>
      <c r="AW40" s="35">
        <f ca="1">ROUND((TblConstr[[#This Row],[Land]]-250 - IF(TblExplore[[#This Row],[Land Bonus]]&lt;&gt;0,20,0))*0.285 + 87.5 + 0/4.25,0)</f>
        <v>48</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110</v>
      </c>
      <c r="BU40" s="167">
        <f ca="1">TblImps[[#This Row],[Time]]</f>
        <v>46103.249999999913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90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90</v>
      </c>
      <c r="DH40" s="5">
        <f t="shared" ca="1" si="10"/>
        <v>0</v>
      </c>
      <c r="DI40" s="5">
        <f t="shared" ca="1" si="0"/>
        <v>0</v>
      </c>
      <c r="DJ40" s="5">
        <f t="shared" ca="1" si="1"/>
        <v>0</v>
      </c>
    </row>
    <row r="41" spans="1:114" x14ac:dyDescent="0.2">
      <c r="A41" s="175">
        <f>TblRezone[[#This Row],[Hour]]</f>
        <v>38</v>
      </c>
      <c r="B41" s="176">
        <f ca="1">SUM(TblConstr[[#This Row],[Plain]:[Water]])</f>
        <v>60</v>
      </c>
      <c r="C41" s="177">
        <f ca="1">SUM(TblConstr[[#This Row],[Tot Hom]:[Tot Doc]])</f>
        <v>50</v>
      </c>
      <c r="D41" s="177">
        <f t="shared" si="2"/>
        <v>0</v>
      </c>
      <c r="E41" s="178"/>
      <c r="F41" s="61">
        <f ca="1">TblConstr[[#This Row],[Barren]]+TblConstr[[#This Row],[Buildings]]+TblConstr[[#This Row],[Incoming]]</f>
        <v>110</v>
      </c>
      <c r="G41" s="187">
        <f ca="1">OFFSET(TblConstr[[#This Row],[Plain]],-1,0)+TblConstr[[#This Row],[Ch_Plain]]</f>
        <v>60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46103.291666666577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113287</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1" s="94">
        <f ca="1">ROUNDDOWN( MAX(1 - MIN(facs_constr_factor*TblConstr[[#This Row],[Facs -DB]],facs_constr_max) + tech_1_11*TblTech[[#This Row],[11-1]] + tech_6_3_2*TblTech[[#This Row],[6-3]] + tech_5_2_3*TblTech[[#This Row],[5-2]], 1-global_constr_cap) * TblConstr[[#This Row],[RCPA Lumber]],0)</f>
        <v>48</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1" s="94">
        <f ca="1">ROUNDDOWN( MAX(1 - MIN(facs_constr_factor*TblConstr[[#This Row],[Facs DB]],facs_constr_max) + tech_1_11*TblTech[[#This Row],[1-11]] + tech_6_3_2*TblTech[[#This Row],[6-3]] + tech_5_2_3*TblTech[[#This Row],[5-2]], 1-global_constr_cap) * ROUND((TblConstr[[#This Row],[Land]]-250)*0.285 + 87.5 + 0/4.25,0),0)</f>
        <v>48</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675</v>
      </c>
      <c r="AW41" s="94">
        <f ca="1">ROUND((TblConstr[[#This Row],[Land]]-250 - IF(TblExplore[[#This Row],[Land Bonus]]&lt;&gt;0,20,0))*0.285 + 87.5 + 0/4.25,0)</f>
        <v>48</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110</v>
      </c>
      <c r="BU41" s="159">
        <f ca="1">TblImps[[#This Row],[Time]]</f>
        <v>46103.291666666577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90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90</v>
      </c>
      <c r="DH41" s="45">
        <f t="shared" ca="1" si="10"/>
        <v>0</v>
      </c>
      <c r="DI41" s="45">
        <f t="shared" ca="1" si="0"/>
        <v>0</v>
      </c>
      <c r="DJ41" s="45">
        <f t="shared" ca="1" si="1"/>
        <v>0</v>
      </c>
    </row>
    <row r="42" spans="1:114" x14ac:dyDescent="0.2">
      <c r="A42" s="175">
        <f>TblRezone[[#This Row],[Hour]]</f>
        <v>39</v>
      </c>
      <c r="B42" s="176">
        <f ca="1">SUM(TblConstr[[#This Row],[Plain]:[Water]])</f>
        <v>60</v>
      </c>
      <c r="C42" s="177">
        <f ca="1">SUM(TblConstr[[#This Row],[Tot Hom]:[Tot Doc]])</f>
        <v>50</v>
      </c>
      <c r="D42" s="177">
        <f t="shared" si="2"/>
        <v>0</v>
      </c>
      <c r="E42" s="178"/>
      <c r="F42" s="61">
        <f ca="1">TblConstr[[#This Row],[Barren]]+TblConstr[[#This Row],[Buildings]]+TblConstr[[#This Row],[Incoming]]</f>
        <v>110</v>
      </c>
      <c r="G42" s="187">
        <f ca="1">OFFSET(TblConstr[[#This Row],[Plain]],-1,0)+TblConstr[[#This Row],[Ch_Plain]]</f>
        <v>60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46103.333333333241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115155</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2" s="94">
        <f ca="1">ROUNDDOWN( MAX(1 - MIN(facs_constr_factor*TblConstr[[#This Row],[Facs -DB]],facs_constr_max) + tech_1_11*TblTech[[#This Row],[11-1]] + tech_6_3_2*TblTech[[#This Row],[6-3]] + tech_5_2_3*TblTech[[#This Row],[5-2]], 1-global_constr_cap) * TblConstr[[#This Row],[RCPA Lumber]],0)</f>
        <v>48</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2" s="94">
        <f ca="1">ROUNDDOWN( MAX(1 - MIN(facs_constr_factor*TblConstr[[#This Row],[Facs DB]],facs_constr_max) + tech_1_11*TblTech[[#This Row],[1-11]] + tech_6_3_2*TblTech[[#This Row],[6-3]] + tech_5_2_3*TblTech[[#This Row],[5-2]], 1-global_constr_cap) * ROUND((TblConstr[[#This Row],[Land]]-250)*0.285 + 87.5 + 0/4.25,0),0)</f>
        <v>48</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675</v>
      </c>
      <c r="AW42" s="94">
        <f ca="1">ROUND((TblConstr[[#This Row],[Land]]-250 - IF(TblExplore[[#This Row],[Land Bonus]]&lt;&gt;0,20,0))*0.285 + 87.5 + 0/4.25,0)</f>
        <v>48</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110</v>
      </c>
      <c r="BU42" s="159">
        <f ca="1">TblImps[[#This Row],[Time]]</f>
        <v>46103.333333333241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90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90</v>
      </c>
      <c r="DH42" s="45">
        <f t="shared" ca="1" si="10"/>
        <v>0</v>
      </c>
      <c r="DI42" s="45">
        <f t="shared" ca="1" si="0"/>
        <v>0</v>
      </c>
      <c r="DJ42" s="45">
        <f t="shared" ca="1" si="1"/>
        <v>0</v>
      </c>
    </row>
    <row r="43" spans="1:114" x14ac:dyDescent="0.2">
      <c r="A43" s="175">
        <f>TblRezone[[#This Row],[Hour]]</f>
        <v>40</v>
      </c>
      <c r="B43" s="176">
        <f ca="1">SUM(TblConstr[[#This Row],[Plain]:[Water]])</f>
        <v>60</v>
      </c>
      <c r="C43" s="177">
        <f ca="1">SUM(TblConstr[[#This Row],[Tot Hom]:[Tot Doc]])</f>
        <v>50</v>
      </c>
      <c r="D43" s="177">
        <f t="shared" si="2"/>
        <v>0</v>
      </c>
      <c r="E43" s="178"/>
      <c r="F43" s="61">
        <f ca="1">TblConstr[[#This Row],[Barren]]+TblConstr[[#This Row],[Buildings]]+TblConstr[[#This Row],[Incoming]]</f>
        <v>110</v>
      </c>
      <c r="G43" s="187">
        <f ca="1">OFFSET(TblConstr[[#This Row],[Plain]],-1,0)+TblConstr[[#This Row],[Ch_Plain]]</f>
        <v>60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46103.374999999905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117004</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3" s="94">
        <f ca="1">ROUNDDOWN( MAX(1 - MIN(facs_constr_factor*TblConstr[[#This Row],[Facs -DB]],facs_constr_max) + tech_1_11*TblTech[[#This Row],[11-1]] + tech_6_3_2*TblTech[[#This Row],[6-3]] + tech_5_2_3*TblTech[[#This Row],[5-2]], 1-global_constr_cap) * TblConstr[[#This Row],[RCPA Lumber]],0)</f>
        <v>48</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3" s="94">
        <f ca="1">ROUNDDOWN( MAX(1 - MIN(facs_constr_factor*TblConstr[[#This Row],[Facs DB]],facs_constr_max) + tech_1_11*TblTech[[#This Row],[1-11]] + tech_6_3_2*TblTech[[#This Row],[6-3]] + tech_5_2_3*TblTech[[#This Row],[5-2]], 1-global_constr_cap) * ROUND((TblConstr[[#This Row],[Land]]-250)*0.285 + 87.5 + 0/4.25,0),0)</f>
        <v>48</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675</v>
      </c>
      <c r="AW43" s="94">
        <f ca="1">ROUND((TblConstr[[#This Row],[Land]]-250 - IF(TblExplore[[#This Row],[Land Bonus]]&lt;&gt;0,20,0))*0.285 + 87.5 + 0/4.25,0)</f>
        <v>48</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110</v>
      </c>
      <c r="BU43" s="159">
        <f ca="1">TblImps[[#This Row],[Time]]</f>
        <v>46103.374999999905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90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90</v>
      </c>
      <c r="DH43" s="45">
        <f t="shared" ca="1" si="10"/>
        <v>0</v>
      </c>
      <c r="DI43" s="45">
        <f t="shared" ca="1" si="0"/>
        <v>0</v>
      </c>
      <c r="DJ43" s="45">
        <f t="shared" ca="1" si="1"/>
        <v>0</v>
      </c>
    </row>
    <row r="44" spans="1:114" x14ac:dyDescent="0.2">
      <c r="A44" s="175">
        <f>TblRezone[[#This Row],[Hour]]</f>
        <v>41</v>
      </c>
      <c r="B44" s="176">
        <f ca="1">SUM(TblConstr[[#This Row],[Plain]:[Water]])</f>
        <v>60</v>
      </c>
      <c r="C44" s="177">
        <f ca="1">SUM(TblConstr[[#This Row],[Tot Hom]:[Tot Doc]])</f>
        <v>50</v>
      </c>
      <c r="D44" s="177">
        <f t="shared" si="2"/>
        <v>0</v>
      </c>
      <c r="E44" s="178"/>
      <c r="F44" s="61">
        <f ca="1">TblConstr[[#This Row],[Barren]]+TblConstr[[#This Row],[Buildings]]+TblConstr[[#This Row],[Incoming]]</f>
        <v>110</v>
      </c>
      <c r="G44" s="187">
        <f ca="1">OFFSET(TblConstr[[#This Row],[Plain]],-1,0)+TblConstr[[#This Row],[Ch_Plain]]</f>
        <v>60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46103.41666666657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118834</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4" s="94">
        <f ca="1">ROUNDDOWN( MAX(1 - MIN(facs_constr_factor*TblConstr[[#This Row],[Facs -DB]],facs_constr_max) + tech_1_11*TblTech[[#This Row],[11-1]] + tech_6_3_2*TblTech[[#This Row],[6-3]] + tech_5_2_3*TblTech[[#This Row],[5-2]], 1-global_constr_cap) * TblConstr[[#This Row],[RCPA Lumber]],0)</f>
        <v>48</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4" s="94">
        <f ca="1">ROUNDDOWN( MAX(1 - MIN(facs_constr_factor*TblConstr[[#This Row],[Facs DB]],facs_constr_max) + tech_1_11*TblTech[[#This Row],[1-11]] + tech_6_3_2*TblTech[[#This Row],[6-3]] + tech_5_2_3*TblTech[[#This Row],[5-2]], 1-global_constr_cap) * ROUND((TblConstr[[#This Row],[Land]]-250)*0.285 + 87.5 + 0/4.25,0),0)</f>
        <v>48</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675</v>
      </c>
      <c r="AW44" s="94">
        <f ca="1">ROUND((TblConstr[[#This Row],[Land]]-250 - IF(TblExplore[[#This Row],[Land Bonus]]&lt;&gt;0,20,0))*0.285 + 87.5 + 0/4.25,0)</f>
        <v>48</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110</v>
      </c>
      <c r="BU44" s="159">
        <f ca="1">TblImps[[#This Row],[Time]]</f>
        <v>46103.41666666657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90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90</v>
      </c>
      <c r="DH44" s="45">
        <f t="shared" ca="1" si="10"/>
        <v>0</v>
      </c>
      <c r="DI44" s="45">
        <f t="shared" ca="1" si="0"/>
        <v>0</v>
      </c>
      <c r="DJ44" s="45">
        <f t="shared" ca="1" si="1"/>
        <v>0</v>
      </c>
    </row>
    <row r="45" spans="1:114" x14ac:dyDescent="0.2">
      <c r="A45" s="175">
        <f>TblRezone[[#This Row],[Hour]]</f>
        <v>42</v>
      </c>
      <c r="B45" s="176">
        <f ca="1">SUM(TblConstr[[#This Row],[Plain]:[Water]])</f>
        <v>60</v>
      </c>
      <c r="C45" s="177">
        <f ca="1">SUM(TblConstr[[#This Row],[Tot Hom]:[Tot Doc]])</f>
        <v>50</v>
      </c>
      <c r="D45" s="177">
        <f t="shared" si="2"/>
        <v>0</v>
      </c>
      <c r="E45" s="178"/>
      <c r="F45" s="61">
        <f ca="1">TblConstr[[#This Row],[Barren]]+TblConstr[[#This Row],[Buildings]]+TblConstr[[#This Row],[Incoming]]</f>
        <v>110</v>
      </c>
      <c r="G45" s="187">
        <f ca="1">OFFSET(TblConstr[[#This Row],[Plain]],-1,0)+TblConstr[[#This Row],[Ch_Plain]]</f>
        <v>60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46103.458333333234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120645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5" s="94">
        <f ca="1">ROUNDDOWN( MAX(1 - MIN(facs_constr_factor*TblConstr[[#This Row],[Facs -DB]],facs_constr_max) + tech_1_11*TblTech[[#This Row],[11-1]] + tech_6_3_2*TblTech[[#This Row],[6-3]] + tech_5_2_3*TblTech[[#This Row],[5-2]], 1-global_constr_cap) * TblConstr[[#This Row],[RCPA Lumber]],0)</f>
        <v>48</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5" s="94">
        <f ca="1">ROUNDDOWN( MAX(1 - MIN(facs_constr_factor*TblConstr[[#This Row],[Facs DB]],facs_constr_max) + tech_1_11*TblTech[[#This Row],[1-11]] + tech_6_3_2*TblTech[[#This Row],[6-3]] + tech_5_2_3*TblTech[[#This Row],[5-2]], 1-global_constr_cap) * ROUND((TblConstr[[#This Row],[Land]]-250)*0.285 + 87.5 + 0/4.25,0),0)</f>
        <v>48</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675</v>
      </c>
      <c r="AW45" s="94">
        <f ca="1">ROUND((TblConstr[[#This Row],[Land]]-250 - IF(TblExplore[[#This Row],[Land Bonus]]&lt;&gt;0,20,0))*0.285 + 87.5 + 0/4.25,0)</f>
        <v>48</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110</v>
      </c>
      <c r="BU45" s="159">
        <f ca="1">TblImps[[#This Row],[Time]]</f>
        <v>46103.458333333234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90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90</v>
      </c>
      <c r="DH45" s="45">
        <f t="shared" ca="1" si="10"/>
        <v>0</v>
      </c>
      <c r="DI45" s="45">
        <f t="shared" ca="1" si="0"/>
        <v>0</v>
      </c>
      <c r="DJ45" s="45">
        <f t="shared" ca="1" si="1"/>
        <v>0</v>
      </c>
    </row>
    <row r="46" spans="1:114" x14ac:dyDescent="0.2">
      <c r="A46" s="175">
        <f>TblRezone[[#This Row],[Hour]]</f>
        <v>43</v>
      </c>
      <c r="B46" s="176">
        <f ca="1">SUM(TblConstr[[#This Row],[Plain]:[Water]])</f>
        <v>60</v>
      </c>
      <c r="C46" s="177">
        <f ca="1">SUM(TblConstr[[#This Row],[Tot Hom]:[Tot Doc]])</f>
        <v>50</v>
      </c>
      <c r="D46" s="177">
        <f t="shared" si="2"/>
        <v>0</v>
      </c>
      <c r="E46" s="178"/>
      <c r="F46" s="61">
        <f ca="1">TblConstr[[#This Row],[Barren]]+TblConstr[[#This Row],[Buildings]]+TblConstr[[#This Row],[Incoming]]</f>
        <v>110</v>
      </c>
      <c r="G46" s="187">
        <f ca="1">OFFSET(TblConstr[[#This Row],[Plain]],-1,0)+TblConstr[[#This Row],[Ch_Plain]]</f>
        <v>60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46103.499999999898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122437</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6" s="94">
        <f ca="1">ROUNDDOWN( MAX(1 - MIN(facs_constr_factor*TblConstr[[#This Row],[Facs -DB]],facs_constr_max) + tech_1_11*TblTech[[#This Row],[11-1]] + tech_6_3_2*TblTech[[#This Row],[6-3]] + tech_5_2_3*TblTech[[#This Row],[5-2]], 1-global_constr_cap) * TblConstr[[#This Row],[RCPA Lumber]],0)</f>
        <v>48</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6" s="94">
        <f ca="1">ROUNDDOWN( MAX(1 - MIN(facs_constr_factor*TblConstr[[#This Row],[Facs DB]],facs_constr_max) + tech_1_11*TblTech[[#This Row],[1-11]] + tech_6_3_2*TblTech[[#This Row],[6-3]] + tech_5_2_3*TblTech[[#This Row],[5-2]], 1-global_constr_cap) * ROUND((TblConstr[[#This Row],[Land]]-250)*0.285 + 87.5 + 0/4.25,0),0)</f>
        <v>48</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675</v>
      </c>
      <c r="AW46" s="94">
        <f ca="1">ROUND((TblConstr[[#This Row],[Land]]-250 - IF(TblExplore[[#This Row],[Land Bonus]]&lt;&gt;0,20,0))*0.285 + 87.5 + 0/4.25,0)</f>
        <v>48</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110</v>
      </c>
      <c r="BU46" s="159">
        <f ca="1">TblImps[[#This Row],[Time]]</f>
        <v>46103.499999999898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90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90</v>
      </c>
      <c r="DH46" s="45">
        <f t="shared" ca="1" si="10"/>
        <v>0</v>
      </c>
      <c r="DI46" s="45">
        <f t="shared" ca="1" si="0"/>
        <v>0</v>
      </c>
      <c r="DJ46" s="45">
        <f t="shared" ca="1" si="1"/>
        <v>0</v>
      </c>
    </row>
    <row r="47" spans="1:114" x14ac:dyDescent="0.2">
      <c r="A47" s="175">
        <f>TblRezone[[#This Row],[Hour]]</f>
        <v>44</v>
      </c>
      <c r="B47" s="176">
        <f ca="1">SUM(TblConstr[[#This Row],[Plain]:[Water]])</f>
        <v>60</v>
      </c>
      <c r="C47" s="177">
        <f ca="1">SUM(TblConstr[[#This Row],[Tot Hom]:[Tot Doc]])</f>
        <v>50</v>
      </c>
      <c r="D47" s="177">
        <f t="shared" ref="D47:D75" si="11">SUM(O36:AG47)</f>
        <v>0</v>
      </c>
      <c r="E47" s="178"/>
      <c r="F47" s="61">
        <f ca="1">TblConstr[[#This Row],[Barren]]+TblConstr[[#This Row],[Buildings]]+TblConstr[[#This Row],[Incoming]]</f>
        <v>110</v>
      </c>
      <c r="G47" s="187">
        <f ca="1">OFFSET(TblConstr[[#This Row],[Plain]],-1,0)+TblConstr[[#This Row],[Ch_Plain]]</f>
        <v>60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46103.541666666562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124210</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7" s="94">
        <f ca="1">ROUNDDOWN( MAX(1 - MIN(facs_constr_factor*TblConstr[[#This Row],[Facs -DB]],facs_constr_max) + tech_1_11*TblTech[[#This Row],[11-1]] + tech_6_3_2*TblTech[[#This Row],[6-3]] + tech_5_2_3*TblTech[[#This Row],[5-2]], 1-global_constr_cap) * TblConstr[[#This Row],[RCPA Lumber]],0)</f>
        <v>48</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7" s="94">
        <f ca="1">ROUNDDOWN( MAX(1 - MIN(facs_constr_factor*TblConstr[[#This Row],[Facs DB]],facs_constr_max) + tech_1_11*TblTech[[#This Row],[1-11]] + tech_6_3_2*TblTech[[#This Row],[6-3]] + tech_5_2_3*TblTech[[#This Row],[5-2]], 1-global_constr_cap) * ROUND((TblConstr[[#This Row],[Land]]-250)*0.285 + 87.5 + 0/4.25,0),0)</f>
        <v>48</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675</v>
      </c>
      <c r="AW47" s="94">
        <f ca="1">ROUND((TblConstr[[#This Row],[Land]]-250 - IF(TblExplore[[#This Row],[Land Bonus]]&lt;&gt;0,20,0))*0.285 + 87.5 + 0/4.25,0)</f>
        <v>48</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110</v>
      </c>
      <c r="BU47" s="159">
        <f ca="1">TblImps[[#This Row],[Time]]</f>
        <v>46103.541666666562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90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90</v>
      </c>
      <c r="DH47" s="45">
        <f t="shared" ca="1" si="10"/>
        <v>0</v>
      </c>
      <c r="DI47" s="45">
        <f t="shared" ca="1" si="0"/>
        <v>0</v>
      </c>
      <c r="DJ47" s="45">
        <f t="shared" ca="1" si="1"/>
        <v>0</v>
      </c>
    </row>
    <row r="48" spans="1:114" x14ac:dyDescent="0.2">
      <c r="A48" s="175">
        <f>TblRezone[[#This Row],[Hour]]</f>
        <v>45</v>
      </c>
      <c r="B48" s="176">
        <f ca="1">SUM(TblConstr[[#This Row],[Plain]:[Water]])</f>
        <v>60</v>
      </c>
      <c r="C48" s="177">
        <f ca="1">SUM(TblConstr[[#This Row],[Tot Hom]:[Tot Doc]])</f>
        <v>50</v>
      </c>
      <c r="D48" s="177">
        <f t="shared" si="11"/>
        <v>0</v>
      </c>
      <c r="E48" s="178"/>
      <c r="F48" s="61">
        <f ca="1">TblConstr[[#This Row],[Barren]]+TblConstr[[#This Row],[Buildings]]+TblConstr[[#This Row],[Incoming]]</f>
        <v>110</v>
      </c>
      <c r="G48" s="187">
        <f ca="1">OFFSET(TblConstr[[#This Row],[Plain]],-1,0)+TblConstr[[#This Row],[Ch_Plain]]</f>
        <v>60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46103.583333333227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125965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8" s="94">
        <f ca="1">ROUNDDOWN( MAX(1 - MIN(facs_constr_factor*TblConstr[[#This Row],[Facs -DB]],facs_constr_max) + tech_1_11*TblTech[[#This Row],[11-1]] + tech_6_3_2*TblTech[[#This Row],[6-3]] + tech_5_2_3*TblTech[[#This Row],[5-2]], 1-global_constr_cap) * TblConstr[[#This Row],[RCPA Lumber]],0)</f>
        <v>48</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8" s="94">
        <f ca="1">ROUNDDOWN( MAX(1 - MIN(facs_constr_factor*TblConstr[[#This Row],[Facs DB]],facs_constr_max) + tech_1_11*TblTech[[#This Row],[1-11]] + tech_6_3_2*TblTech[[#This Row],[6-3]] + tech_5_2_3*TblTech[[#This Row],[5-2]], 1-global_constr_cap) * ROUND((TblConstr[[#This Row],[Land]]-250)*0.285 + 87.5 + 0/4.25,0),0)</f>
        <v>48</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675</v>
      </c>
      <c r="AW48" s="94">
        <f ca="1">ROUND((TblConstr[[#This Row],[Land]]-250 - IF(TblExplore[[#This Row],[Land Bonus]]&lt;&gt;0,20,0))*0.285 + 87.5 + 0/4.25,0)</f>
        <v>48</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110</v>
      </c>
      <c r="BU48" s="159">
        <f ca="1">TblImps[[#This Row],[Time]]</f>
        <v>46103.583333333227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90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90</v>
      </c>
      <c r="DH48" s="45">
        <f t="shared" ca="1" si="10"/>
        <v>0</v>
      </c>
      <c r="DI48" s="45">
        <f t="shared" ca="1" si="0"/>
        <v>0</v>
      </c>
      <c r="DJ48" s="45">
        <f t="shared" ca="1" si="1"/>
        <v>0</v>
      </c>
    </row>
    <row r="49" spans="1:114" x14ac:dyDescent="0.2">
      <c r="A49" s="175">
        <f>TblRezone[[#This Row],[Hour]]</f>
        <v>46</v>
      </c>
      <c r="B49" s="176">
        <f ca="1">SUM(TblConstr[[#This Row],[Plain]:[Water]])</f>
        <v>60</v>
      </c>
      <c r="C49" s="177">
        <f ca="1">SUM(TblConstr[[#This Row],[Tot Hom]:[Tot Doc]])</f>
        <v>50</v>
      </c>
      <c r="D49" s="177">
        <f t="shared" si="11"/>
        <v>0</v>
      </c>
      <c r="E49" s="178"/>
      <c r="F49" s="61">
        <f ca="1">TblConstr[[#This Row],[Barren]]+TblConstr[[#This Row],[Buildings]]+TblConstr[[#This Row],[Incoming]]</f>
        <v>110</v>
      </c>
      <c r="G49" s="187">
        <f ca="1">OFFSET(TblConstr[[#This Row],[Plain]],-1,0)+TblConstr[[#This Row],[Ch_Plain]]</f>
        <v>60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46103.624999999891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127701</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9" s="94">
        <f ca="1">ROUNDDOWN( MAX(1 - MIN(facs_constr_factor*TblConstr[[#This Row],[Facs -DB]],facs_constr_max) + tech_1_11*TblTech[[#This Row],[11-1]] + tech_6_3_2*TblTech[[#This Row],[6-3]] + tech_5_2_3*TblTech[[#This Row],[5-2]], 1-global_constr_cap) * TblConstr[[#This Row],[RCPA Lumber]],0)</f>
        <v>48</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9" s="94">
        <f ca="1">ROUNDDOWN( MAX(1 - MIN(facs_constr_factor*TblConstr[[#This Row],[Facs DB]],facs_constr_max) + tech_1_11*TblTech[[#This Row],[1-11]] + tech_6_3_2*TblTech[[#This Row],[6-3]] + tech_5_2_3*TblTech[[#This Row],[5-2]], 1-global_constr_cap) * ROUND((TblConstr[[#This Row],[Land]]-250)*0.285 + 87.5 + 0/4.25,0),0)</f>
        <v>48</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675</v>
      </c>
      <c r="AW49" s="94">
        <f ca="1">ROUND((TblConstr[[#This Row],[Land]]-250 - IF(TblExplore[[#This Row],[Land Bonus]]&lt;&gt;0,20,0))*0.285 + 87.5 + 0/4.25,0)</f>
        <v>48</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110</v>
      </c>
      <c r="BU49" s="159">
        <f ca="1">TblImps[[#This Row],[Time]]</f>
        <v>46103.624999999891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90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90</v>
      </c>
      <c r="DH49" s="45">
        <f t="shared" ca="1" si="10"/>
        <v>0</v>
      </c>
      <c r="DI49" s="45">
        <f t="shared" ca="1" si="0"/>
        <v>0</v>
      </c>
      <c r="DJ49" s="45">
        <f t="shared" ca="1" si="1"/>
        <v>0</v>
      </c>
    </row>
    <row r="50" spans="1:114" x14ac:dyDescent="0.2">
      <c r="A50" s="175">
        <f>TblRezone[[#This Row],[Hour]]</f>
        <v>47</v>
      </c>
      <c r="B50" s="176">
        <f ca="1">SUM(TblConstr[[#This Row],[Plain]:[Water]])</f>
        <v>60</v>
      </c>
      <c r="C50" s="177">
        <f ca="1">SUM(TblConstr[[#This Row],[Tot Hom]:[Tot Doc]])</f>
        <v>50</v>
      </c>
      <c r="D50" s="177">
        <f t="shared" si="11"/>
        <v>0</v>
      </c>
      <c r="E50" s="178"/>
      <c r="F50" s="61">
        <f ca="1">TblConstr[[#This Row],[Barren]]+TblConstr[[#This Row],[Buildings]]+TblConstr[[#This Row],[Incoming]]</f>
        <v>110</v>
      </c>
      <c r="G50" s="187">
        <f ca="1">OFFSET(TblConstr[[#This Row],[Plain]],-1,0)+TblConstr[[#This Row],[Ch_Plain]]</f>
        <v>60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46103.666666666555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129420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0" s="94">
        <f ca="1">ROUNDDOWN( MAX(1 - MIN(facs_constr_factor*TblConstr[[#This Row],[Facs -DB]],facs_constr_max) + tech_1_11*TblTech[[#This Row],[11-1]] + tech_6_3_2*TblTech[[#This Row],[6-3]] + tech_5_2_3*TblTech[[#This Row],[5-2]], 1-global_constr_cap) * TblConstr[[#This Row],[RCPA Lumber]],0)</f>
        <v>48</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0" s="94">
        <f ca="1">ROUNDDOWN( MAX(1 - MIN(facs_constr_factor*TblConstr[[#This Row],[Facs DB]],facs_constr_max) + tech_1_11*TblTech[[#This Row],[1-11]] + tech_6_3_2*TblTech[[#This Row],[6-3]] + tech_5_2_3*TblTech[[#This Row],[5-2]], 1-global_constr_cap) * ROUND((TblConstr[[#This Row],[Land]]-250)*0.285 + 87.5 + 0/4.25,0),0)</f>
        <v>48</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675</v>
      </c>
      <c r="AW50" s="94">
        <f ca="1">ROUND((TblConstr[[#This Row],[Land]]-250 - IF(TblExplore[[#This Row],[Land Bonus]]&lt;&gt;0,20,0))*0.285 + 87.5 + 0/4.25,0)</f>
        <v>48</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110</v>
      </c>
      <c r="BU50" s="159">
        <f ca="1">TblImps[[#This Row],[Time]]</f>
        <v>46103.666666666555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90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90</v>
      </c>
      <c r="DH50" s="45">
        <f t="shared" ca="1" si="10"/>
        <v>0</v>
      </c>
      <c r="DI50" s="45">
        <f t="shared" ca="1" si="0"/>
        <v>0</v>
      </c>
      <c r="DJ50" s="45">
        <f t="shared" ca="1" si="1"/>
        <v>0</v>
      </c>
    </row>
    <row r="51" spans="1:114" x14ac:dyDescent="0.2">
      <c r="A51" s="175">
        <f>TblRezone[[#This Row],[Hour]]</f>
        <v>48</v>
      </c>
      <c r="B51" s="176">
        <f ca="1">SUM(TblConstr[[#This Row],[Plain]:[Water]])</f>
        <v>60</v>
      </c>
      <c r="C51" s="177">
        <f ca="1">SUM(TblConstr[[#This Row],[Tot Hom]:[Tot Doc]])</f>
        <v>50</v>
      </c>
      <c r="D51" s="177">
        <f t="shared" si="11"/>
        <v>0</v>
      </c>
      <c r="E51" s="178"/>
      <c r="F51" s="61">
        <f ca="1">TblConstr[[#This Row],[Barren]]+TblConstr[[#This Row],[Buildings]]+TblConstr[[#This Row],[Incoming]]</f>
        <v>110</v>
      </c>
      <c r="G51" s="187">
        <f ca="1">OFFSET(TblConstr[[#This Row],[Plain]],-1,0)+TblConstr[[#This Row],[Ch_Plain]]</f>
        <v>60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46103.708333333219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131123</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1" s="94">
        <f ca="1">ROUNDDOWN( MAX(1 - MIN(facs_constr_factor*TblConstr[[#This Row],[Facs -DB]],facs_constr_max) + tech_1_11*TblTech[[#This Row],[11-1]] + tech_6_3_2*TblTech[[#This Row],[6-3]] + tech_5_2_3*TblTech[[#This Row],[5-2]], 1-global_constr_cap) * TblConstr[[#This Row],[RCPA Lumber]],0)</f>
        <v>48</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1" s="94">
        <f ca="1">ROUNDDOWN( MAX(1 - MIN(facs_constr_factor*TblConstr[[#This Row],[Facs DB]],facs_constr_max) + tech_1_11*TblTech[[#This Row],[1-11]] + tech_6_3_2*TblTech[[#This Row],[6-3]] + tech_5_2_3*TblTech[[#This Row],[5-2]], 1-global_constr_cap) * ROUND((TblConstr[[#This Row],[Land]]-250)*0.285 + 87.5 + 0/4.25,0),0)</f>
        <v>48</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675</v>
      </c>
      <c r="AW51" s="94">
        <f ca="1">ROUND((TblConstr[[#This Row],[Land]]-250 - IF(TblExplore[[#This Row],[Land Bonus]]&lt;&gt;0,20,0))*0.285 + 87.5 + 0/4.25,0)</f>
        <v>48</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110</v>
      </c>
      <c r="BU51" s="159">
        <f ca="1">TblImps[[#This Row],[Time]]</f>
        <v>46103.708333333219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90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90</v>
      </c>
      <c r="DH51" s="45">
        <f t="shared" ca="1" si="10"/>
        <v>0</v>
      </c>
      <c r="DI51" s="45">
        <f t="shared" ca="1" si="0"/>
        <v>0</v>
      </c>
      <c r="DJ51" s="45">
        <f t="shared" ca="1" si="1"/>
        <v>0</v>
      </c>
    </row>
    <row r="52" spans="1:114" x14ac:dyDescent="0.2">
      <c r="A52" s="175">
        <f>TblRezone[[#This Row],[Hour]]</f>
        <v>49</v>
      </c>
      <c r="B52" s="176">
        <f ca="1">SUM(TblConstr[[#This Row],[Plain]:[Water]])</f>
        <v>60</v>
      </c>
      <c r="C52" s="177">
        <f ca="1">SUM(TblConstr[[#This Row],[Tot Hom]:[Tot Doc]])</f>
        <v>50</v>
      </c>
      <c r="D52" s="177">
        <f t="shared" si="11"/>
        <v>0</v>
      </c>
      <c r="E52" s="178"/>
      <c r="F52" s="61">
        <f ca="1">TblConstr[[#This Row],[Barren]]+TblConstr[[#This Row],[Buildings]]+TblConstr[[#This Row],[Incoming]]</f>
        <v>110</v>
      </c>
      <c r="G52" s="187">
        <f ca="1">OFFSET(TblConstr[[#This Row],[Plain]],-1,0)+TblConstr[[#This Row],[Ch_Plain]]</f>
        <v>60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46103.749999999884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132810</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2" s="94">
        <f ca="1">ROUNDDOWN( MAX(1 - MIN(facs_constr_factor*TblConstr[[#This Row],[Facs -DB]],facs_constr_max) + tech_1_11*TblTech[[#This Row],[11-1]] + tech_6_3_2*TblTech[[#This Row],[6-3]] + tech_5_2_3*TblTech[[#This Row],[5-2]], 1-global_constr_cap) * TblConstr[[#This Row],[RCPA Lumber]],0)</f>
        <v>48</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2" s="94">
        <f ca="1">ROUNDDOWN( MAX(1 - MIN(facs_constr_factor*TblConstr[[#This Row],[Facs DB]],facs_constr_max) + tech_1_11*TblTech[[#This Row],[1-11]] + tech_6_3_2*TblTech[[#This Row],[6-3]] + tech_5_2_3*TblTech[[#This Row],[5-2]], 1-global_constr_cap) * ROUND((TblConstr[[#This Row],[Land]]-250)*0.285 + 87.5 + 0/4.25,0),0)</f>
        <v>48</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675</v>
      </c>
      <c r="AW52" s="94">
        <f ca="1">ROUND((TblConstr[[#This Row],[Land]]-250 - IF(TblExplore[[#This Row],[Land Bonus]]&lt;&gt;0,20,0))*0.285 + 87.5 + 0/4.25,0)</f>
        <v>48</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110</v>
      </c>
      <c r="BU52" s="159">
        <f ca="1">TblImps[[#This Row],[Time]]</f>
        <v>46103.749999999884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90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90</v>
      </c>
      <c r="DH52" s="45">
        <f t="shared" ca="1" si="10"/>
        <v>0</v>
      </c>
      <c r="DI52" s="45">
        <f t="shared" ca="1" si="0"/>
        <v>0</v>
      </c>
      <c r="DJ52" s="45">
        <f t="shared" ca="1" si="1"/>
        <v>0</v>
      </c>
    </row>
    <row r="53" spans="1:114" x14ac:dyDescent="0.2">
      <c r="A53" s="175">
        <f>TblRezone[[#This Row],[Hour]]</f>
        <v>50</v>
      </c>
      <c r="B53" s="176">
        <f ca="1">SUM(TblConstr[[#This Row],[Plain]:[Water]])</f>
        <v>60</v>
      </c>
      <c r="C53" s="177">
        <f ca="1">SUM(TblConstr[[#This Row],[Tot Hom]:[Tot Doc]])</f>
        <v>50</v>
      </c>
      <c r="D53" s="177">
        <f t="shared" si="11"/>
        <v>0</v>
      </c>
      <c r="E53" s="178"/>
      <c r="F53" s="61">
        <f ca="1">TblConstr[[#This Row],[Barren]]+TblConstr[[#This Row],[Buildings]]+TblConstr[[#This Row],[Incoming]]</f>
        <v>110</v>
      </c>
      <c r="G53" s="187">
        <f ca="1">OFFSET(TblConstr[[#This Row],[Plain]],-1,0)+TblConstr[[#This Row],[Ch_Plain]]</f>
        <v>60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46103.791666666548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134481</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3" s="94">
        <f ca="1">ROUNDDOWN( MAX(1 - MIN(facs_constr_factor*TblConstr[[#This Row],[Facs -DB]],facs_constr_max) + tech_1_11*TblTech[[#This Row],[11-1]] + tech_6_3_2*TblTech[[#This Row],[6-3]] + tech_5_2_3*TblTech[[#This Row],[5-2]], 1-global_constr_cap) * TblConstr[[#This Row],[RCPA Lumber]],0)</f>
        <v>48</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3" s="94">
        <f ca="1">ROUNDDOWN( MAX(1 - MIN(facs_constr_factor*TblConstr[[#This Row],[Facs DB]],facs_constr_max) + tech_1_11*TblTech[[#This Row],[1-11]] + tech_6_3_2*TblTech[[#This Row],[6-3]] + tech_5_2_3*TblTech[[#This Row],[5-2]], 1-global_constr_cap) * ROUND((TblConstr[[#This Row],[Land]]-250)*0.285 + 87.5 + 0/4.25,0),0)</f>
        <v>48</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675</v>
      </c>
      <c r="AW53" s="94">
        <f ca="1">ROUND((TblConstr[[#This Row],[Land]]-250 - IF(TblExplore[[#This Row],[Land Bonus]]&lt;&gt;0,20,0))*0.285 + 87.5 + 0/4.25,0)</f>
        <v>48</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110</v>
      </c>
      <c r="BU53" s="159">
        <f ca="1">TblImps[[#This Row],[Time]]</f>
        <v>46103.791666666548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90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90</v>
      </c>
      <c r="DH53" s="45">
        <f t="shared" ca="1" si="10"/>
        <v>0</v>
      </c>
      <c r="DI53" s="45">
        <f t="shared" ca="1" si="0"/>
        <v>0</v>
      </c>
      <c r="DJ53" s="45">
        <f t="shared" ca="1" si="1"/>
        <v>0</v>
      </c>
    </row>
    <row r="54" spans="1:114" x14ac:dyDescent="0.2">
      <c r="A54" s="175">
        <f>TblRezone[[#This Row],[Hour]]</f>
        <v>51</v>
      </c>
      <c r="B54" s="176">
        <f ca="1">SUM(TblConstr[[#This Row],[Plain]:[Water]])</f>
        <v>60</v>
      </c>
      <c r="C54" s="177">
        <f ca="1">SUM(TblConstr[[#This Row],[Tot Hom]:[Tot Doc]])</f>
        <v>50</v>
      </c>
      <c r="D54" s="177">
        <f t="shared" si="11"/>
        <v>0</v>
      </c>
      <c r="E54" s="178"/>
      <c r="F54" s="61">
        <f ca="1">TblConstr[[#This Row],[Barren]]+TblConstr[[#This Row],[Buildings]]+TblConstr[[#This Row],[Incoming]]</f>
        <v>110</v>
      </c>
      <c r="G54" s="187">
        <f ca="1">OFFSET(TblConstr[[#This Row],[Plain]],-1,0)+TblConstr[[#This Row],[Ch_Plain]]</f>
        <v>60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46103.833333333212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136136</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4" s="94">
        <f ca="1">ROUNDDOWN( MAX(1 - MIN(facs_constr_factor*TblConstr[[#This Row],[Facs -DB]],facs_constr_max) + tech_1_11*TblTech[[#This Row],[11-1]] + tech_6_3_2*TblTech[[#This Row],[6-3]] + tech_5_2_3*TblTech[[#This Row],[5-2]], 1-global_constr_cap) * TblConstr[[#This Row],[RCPA Lumber]],0)</f>
        <v>48</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4" s="94">
        <f ca="1">ROUNDDOWN( MAX(1 - MIN(facs_constr_factor*TblConstr[[#This Row],[Facs DB]],facs_constr_max) + tech_1_11*TblTech[[#This Row],[1-11]] + tech_6_3_2*TblTech[[#This Row],[6-3]] + tech_5_2_3*TblTech[[#This Row],[5-2]], 1-global_constr_cap) * ROUND((TblConstr[[#This Row],[Land]]-250)*0.285 + 87.5 + 0/4.25,0),0)</f>
        <v>48</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675</v>
      </c>
      <c r="AW54" s="94">
        <f ca="1">ROUND((TblConstr[[#This Row],[Land]]-250 - IF(TblExplore[[#This Row],[Land Bonus]]&lt;&gt;0,20,0))*0.285 + 87.5 + 0/4.25,0)</f>
        <v>48</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110</v>
      </c>
      <c r="BU54" s="159">
        <f ca="1">TblImps[[#This Row],[Time]]</f>
        <v>46103.833333333212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90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90</v>
      </c>
      <c r="DH54" s="45">
        <f t="shared" ca="1" si="10"/>
        <v>0</v>
      </c>
      <c r="DI54" s="45">
        <f t="shared" ca="1" si="0"/>
        <v>0</v>
      </c>
      <c r="DJ54" s="45">
        <f t="shared" ca="1" si="1"/>
        <v>0</v>
      </c>
    </row>
    <row r="55" spans="1:114" x14ac:dyDescent="0.2">
      <c r="A55" s="175">
        <f>TblRezone[[#This Row],[Hour]]</f>
        <v>52</v>
      </c>
      <c r="B55" s="176">
        <f ca="1">SUM(TblConstr[[#This Row],[Plain]:[Water]])</f>
        <v>60</v>
      </c>
      <c r="C55" s="177">
        <f ca="1">SUM(TblConstr[[#This Row],[Tot Hom]:[Tot Doc]])</f>
        <v>50</v>
      </c>
      <c r="D55" s="177">
        <f t="shared" si="11"/>
        <v>0</v>
      </c>
      <c r="E55" s="178"/>
      <c r="F55" s="61">
        <f ca="1">TblConstr[[#This Row],[Barren]]+TblConstr[[#This Row],[Buildings]]+TblConstr[[#This Row],[Incoming]]</f>
        <v>110</v>
      </c>
      <c r="G55" s="187">
        <f ca="1">OFFSET(TblConstr[[#This Row],[Plain]],-1,0)+TblConstr[[#This Row],[Ch_Plain]]</f>
        <v>60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46103.874999999876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137774</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5" s="94">
        <f ca="1">ROUNDDOWN( MAX(1 - MIN(facs_constr_factor*TblConstr[[#This Row],[Facs -DB]],facs_constr_max) + tech_1_11*TblTech[[#This Row],[11-1]] + tech_6_3_2*TblTech[[#This Row],[6-3]] + tech_5_2_3*TblTech[[#This Row],[5-2]], 1-global_constr_cap) * TblConstr[[#This Row],[RCPA Lumber]],0)</f>
        <v>48</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5" s="94">
        <f ca="1">ROUNDDOWN( MAX(1 - MIN(facs_constr_factor*TblConstr[[#This Row],[Facs DB]],facs_constr_max) + tech_1_11*TblTech[[#This Row],[1-11]] + tech_6_3_2*TblTech[[#This Row],[6-3]] + tech_5_2_3*TblTech[[#This Row],[5-2]], 1-global_constr_cap) * ROUND((TblConstr[[#This Row],[Land]]-250)*0.285 + 87.5 + 0/4.25,0),0)</f>
        <v>48</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675</v>
      </c>
      <c r="AW55" s="94">
        <f ca="1">ROUND((TblConstr[[#This Row],[Land]]-250 - IF(TblExplore[[#This Row],[Land Bonus]]&lt;&gt;0,20,0))*0.285 + 87.5 + 0/4.25,0)</f>
        <v>48</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110</v>
      </c>
      <c r="BU55" s="159">
        <f ca="1">TblImps[[#This Row],[Time]]</f>
        <v>46103.874999999876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90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90</v>
      </c>
      <c r="DH55" s="45">
        <f t="shared" ca="1" si="10"/>
        <v>0</v>
      </c>
      <c r="DI55" s="45">
        <f t="shared" ca="1" si="0"/>
        <v>0</v>
      </c>
      <c r="DJ55" s="45">
        <f t="shared" ca="1" si="1"/>
        <v>0</v>
      </c>
    </row>
    <row r="56" spans="1:114" x14ac:dyDescent="0.2">
      <c r="A56" s="175">
        <f>TblRezone[[#This Row],[Hour]]</f>
        <v>53</v>
      </c>
      <c r="B56" s="176">
        <f ca="1">SUM(TblConstr[[#This Row],[Plain]:[Water]])</f>
        <v>60</v>
      </c>
      <c r="C56" s="177">
        <f ca="1">SUM(TblConstr[[#This Row],[Tot Hom]:[Tot Doc]])</f>
        <v>50</v>
      </c>
      <c r="D56" s="177">
        <f t="shared" si="11"/>
        <v>0</v>
      </c>
      <c r="E56" s="178"/>
      <c r="F56" s="61">
        <f ca="1">TblConstr[[#This Row],[Barren]]+TblConstr[[#This Row],[Buildings]]+TblConstr[[#This Row],[Incoming]]</f>
        <v>110</v>
      </c>
      <c r="G56" s="187">
        <f ca="1">OFFSET(TblConstr[[#This Row],[Plain]],-1,0)+TblConstr[[#This Row],[Ch_Plain]]</f>
        <v>60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46103.916666666541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139396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6" s="94">
        <f ca="1">ROUNDDOWN( MAX(1 - MIN(facs_constr_factor*TblConstr[[#This Row],[Facs -DB]],facs_constr_max) + tech_1_11*TblTech[[#This Row],[11-1]] + tech_6_3_2*TblTech[[#This Row],[6-3]] + tech_5_2_3*TblTech[[#This Row],[5-2]], 1-global_constr_cap) * TblConstr[[#This Row],[RCPA Lumber]],0)</f>
        <v>48</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6" s="94">
        <f ca="1">ROUNDDOWN( MAX(1 - MIN(facs_constr_factor*TblConstr[[#This Row],[Facs DB]],facs_constr_max) + tech_1_11*TblTech[[#This Row],[1-11]] + tech_6_3_2*TblTech[[#This Row],[6-3]] + tech_5_2_3*TblTech[[#This Row],[5-2]], 1-global_constr_cap) * ROUND((TblConstr[[#This Row],[Land]]-250)*0.285 + 87.5 + 0/4.25,0),0)</f>
        <v>48</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675</v>
      </c>
      <c r="AW56" s="94">
        <f ca="1">ROUND((TblConstr[[#This Row],[Land]]-250 - IF(TblExplore[[#This Row],[Land Bonus]]&lt;&gt;0,20,0))*0.285 + 87.5 + 0/4.25,0)</f>
        <v>48</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110</v>
      </c>
      <c r="BU56" s="159">
        <f ca="1">TblImps[[#This Row],[Time]]</f>
        <v>46103.916666666541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90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90</v>
      </c>
      <c r="DH56" s="45">
        <f t="shared" ca="1" si="10"/>
        <v>0</v>
      </c>
      <c r="DI56" s="45">
        <f t="shared" ca="1" si="0"/>
        <v>0</v>
      </c>
      <c r="DJ56" s="45">
        <f t="shared" ca="1" si="1"/>
        <v>0</v>
      </c>
    </row>
    <row r="57" spans="1:114" x14ac:dyDescent="0.2">
      <c r="A57" s="175">
        <f>TblRezone[[#This Row],[Hour]]</f>
        <v>54</v>
      </c>
      <c r="B57" s="176">
        <f ca="1">SUM(TblConstr[[#This Row],[Plain]:[Water]])</f>
        <v>60</v>
      </c>
      <c r="C57" s="177">
        <f ca="1">SUM(TblConstr[[#This Row],[Tot Hom]:[Tot Doc]])</f>
        <v>50</v>
      </c>
      <c r="D57" s="177">
        <f t="shared" si="11"/>
        <v>0</v>
      </c>
      <c r="E57" s="178"/>
      <c r="F57" s="61">
        <f ca="1">TblConstr[[#This Row],[Barren]]+TblConstr[[#This Row],[Buildings]]+TblConstr[[#This Row],[Incoming]]</f>
        <v>110</v>
      </c>
      <c r="G57" s="187">
        <f ca="1">OFFSET(TblConstr[[#This Row],[Plain]],-1,0)+TblConstr[[#This Row],[Ch_Plain]]</f>
        <v>60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46103.958333333205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141002</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7" s="94">
        <f ca="1">ROUNDDOWN( MAX(1 - MIN(facs_constr_factor*TblConstr[[#This Row],[Facs -DB]],facs_constr_max) + tech_1_11*TblTech[[#This Row],[11-1]] + tech_6_3_2*TblTech[[#This Row],[6-3]] + tech_5_2_3*TblTech[[#This Row],[5-2]], 1-global_constr_cap) * TblConstr[[#This Row],[RCPA Lumber]],0)</f>
        <v>48</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7" s="94">
        <f ca="1">ROUNDDOWN( MAX(1 - MIN(facs_constr_factor*TblConstr[[#This Row],[Facs DB]],facs_constr_max) + tech_1_11*TblTech[[#This Row],[1-11]] + tech_6_3_2*TblTech[[#This Row],[6-3]] + tech_5_2_3*TblTech[[#This Row],[5-2]], 1-global_constr_cap) * ROUND((TblConstr[[#This Row],[Land]]-250)*0.285 + 87.5 + 0/4.25,0),0)</f>
        <v>48</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675</v>
      </c>
      <c r="AW57" s="94">
        <f ca="1">ROUND((TblConstr[[#This Row],[Land]]-250 - IF(TblExplore[[#This Row],[Land Bonus]]&lt;&gt;0,20,0))*0.285 + 87.5 + 0/4.25,0)</f>
        <v>48</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110</v>
      </c>
      <c r="BU57" s="159">
        <f ca="1">TblImps[[#This Row],[Time]]</f>
        <v>46103.958333333205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90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90</v>
      </c>
      <c r="DH57" s="45">
        <f t="shared" ca="1" si="10"/>
        <v>0</v>
      </c>
      <c r="DI57" s="45">
        <f t="shared" ca="1" si="0"/>
        <v>0</v>
      </c>
      <c r="DJ57" s="45">
        <f t="shared" ca="1" si="1"/>
        <v>0</v>
      </c>
    </row>
    <row r="58" spans="1:114" x14ac:dyDescent="0.2">
      <c r="A58" s="175">
        <f>TblRezone[[#This Row],[Hour]]</f>
        <v>55</v>
      </c>
      <c r="B58" s="176">
        <f ca="1">SUM(TblConstr[[#This Row],[Plain]:[Water]])</f>
        <v>60</v>
      </c>
      <c r="C58" s="177">
        <f ca="1">SUM(TblConstr[[#This Row],[Tot Hom]:[Tot Doc]])</f>
        <v>50</v>
      </c>
      <c r="D58" s="177">
        <f t="shared" si="11"/>
        <v>0</v>
      </c>
      <c r="E58" s="178"/>
      <c r="F58" s="61">
        <f ca="1">TblConstr[[#This Row],[Barren]]+TblConstr[[#This Row],[Buildings]]+TblConstr[[#This Row],[Incoming]]</f>
        <v>110</v>
      </c>
      <c r="G58" s="187">
        <f ca="1">OFFSET(TblConstr[[#This Row],[Plain]],-1,0)+TblConstr[[#This Row],[Ch_Plain]]</f>
        <v>60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46103.999999999869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142592</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8" s="94">
        <f ca="1">ROUNDDOWN( MAX(1 - MIN(facs_constr_factor*TblConstr[[#This Row],[Facs -DB]],facs_constr_max) + tech_1_11*TblTech[[#This Row],[11-1]] + tech_6_3_2*TblTech[[#This Row],[6-3]] + tech_5_2_3*TblTech[[#This Row],[5-2]], 1-global_constr_cap) * TblConstr[[#This Row],[RCPA Lumber]],0)</f>
        <v>48</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8" s="94">
        <f ca="1">ROUNDDOWN( MAX(1 - MIN(facs_constr_factor*TblConstr[[#This Row],[Facs DB]],facs_constr_max) + tech_1_11*TblTech[[#This Row],[1-11]] + tech_6_3_2*TblTech[[#This Row],[6-3]] + tech_5_2_3*TblTech[[#This Row],[5-2]], 1-global_constr_cap) * ROUND((TblConstr[[#This Row],[Land]]-250)*0.285 + 87.5 + 0/4.25,0),0)</f>
        <v>48</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675</v>
      </c>
      <c r="AW58" s="94">
        <f ca="1">ROUND((TblConstr[[#This Row],[Land]]-250 - IF(TblExplore[[#This Row],[Land Bonus]]&lt;&gt;0,20,0))*0.285 + 87.5 + 0/4.25,0)</f>
        <v>48</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110</v>
      </c>
      <c r="BU58" s="159">
        <f ca="1">TblImps[[#This Row],[Time]]</f>
        <v>46103.999999999869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90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90</v>
      </c>
      <c r="DH58" s="45">
        <f t="shared" ca="1" si="10"/>
        <v>0</v>
      </c>
      <c r="DI58" s="45">
        <f t="shared" ca="1" si="0"/>
        <v>0</v>
      </c>
      <c r="DJ58" s="45">
        <f t="shared" ca="1" si="1"/>
        <v>0</v>
      </c>
    </row>
    <row r="59" spans="1:114" x14ac:dyDescent="0.2">
      <c r="A59" s="175">
        <f>TblRezone[[#This Row],[Hour]]</f>
        <v>56</v>
      </c>
      <c r="B59" s="176">
        <f ca="1">SUM(TblConstr[[#This Row],[Plain]:[Water]])</f>
        <v>60</v>
      </c>
      <c r="C59" s="177">
        <f ca="1">SUM(TblConstr[[#This Row],[Tot Hom]:[Tot Doc]])</f>
        <v>50</v>
      </c>
      <c r="D59" s="177">
        <f t="shared" si="11"/>
        <v>0</v>
      </c>
      <c r="E59" s="178"/>
      <c r="F59" s="61">
        <f ca="1">TblConstr[[#This Row],[Barren]]+TblConstr[[#This Row],[Buildings]]+TblConstr[[#This Row],[Incoming]]</f>
        <v>110</v>
      </c>
      <c r="G59" s="187">
        <f ca="1">OFFSET(TblConstr[[#This Row],[Plain]],-1,0)+TblConstr[[#This Row],[Ch_Plain]]</f>
        <v>60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46104.041666666533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144166</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9" s="94">
        <f ca="1">ROUNDDOWN( MAX(1 - MIN(facs_constr_factor*TblConstr[[#This Row],[Facs -DB]],facs_constr_max) + tech_1_11*TblTech[[#This Row],[11-1]] + tech_6_3_2*TblTech[[#This Row],[6-3]] + tech_5_2_3*TblTech[[#This Row],[5-2]], 1-global_constr_cap) * TblConstr[[#This Row],[RCPA Lumber]],0)</f>
        <v>48</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9" s="94">
        <f ca="1">ROUNDDOWN( MAX(1 - MIN(facs_constr_factor*TblConstr[[#This Row],[Facs DB]],facs_constr_max) + tech_1_11*TblTech[[#This Row],[1-11]] + tech_6_3_2*TblTech[[#This Row],[6-3]] + tech_5_2_3*TblTech[[#This Row],[5-2]], 1-global_constr_cap) * ROUND((TblConstr[[#This Row],[Land]]-250)*0.285 + 87.5 + 0/4.25,0),0)</f>
        <v>48</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675</v>
      </c>
      <c r="AW59" s="94">
        <f ca="1">ROUND((TblConstr[[#This Row],[Land]]-250 - IF(TblExplore[[#This Row],[Land Bonus]]&lt;&gt;0,20,0))*0.285 + 87.5 + 0/4.25,0)</f>
        <v>48</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110</v>
      </c>
      <c r="BU59" s="159">
        <f ca="1">TblImps[[#This Row],[Time]]</f>
        <v>46104.041666666533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90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90</v>
      </c>
      <c r="DH59" s="45">
        <f t="shared" ca="1" si="10"/>
        <v>0</v>
      </c>
      <c r="DI59" s="45">
        <f t="shared" ca="1" si="0"/>
        <v>0</v>
      </c>
      <c r="DJ59" s="45">
        <f t="shared" ca="1" si="1"/>
        <v>0</v>
      </c>
    </row>
    <row r="60" spans="1:114" x14ac:dyDescent="0.2">
      <c r="A60" s="175">
        <f>TblRezone[[#This Row],[Hour]]</f>
        <v>57</v>
      </c>
      <c r="B60" s="176">
        <f ca="1">SUM(TblConstr[[#This Row],[Plain]:[Water]])</f>
        <v>60</v>
      </c>
      <c r="C60" s="177">
        <f ca="1">SUM(TblConstr[[#This Row],[Tot Hom]:[Tot Doc]])</f>
        <v>50</v>
      </c>
      <c r="D60" s="177">
        <f t="shared" si="11"/>
        <v>0</v>
      </c>
      <c r="E60" s="178"/>
      <c r="F60" s="61">
        <f ca="1">TblConstr[[#This Row],[Barren]]+TblConstr[[#This Row],[Buildings]]+TblConstr[[#This Row],[Incoming]]</f>
        <v>110</v>
      </c>
      <c r="G60" s="187">
        <f ca="1">OFFSET(TblConstr[[#This Row],[Plain]],-1,0)+TblConstr[[#This Row],[Ch_Plain]]</f>
        <v>60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46104.083333333198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145723</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0" s="94">
        <f ca="1">ROUNDDOWN( MAX(1 - MIN(facs_constr_factor*TblConstr[[#This Row],[Facs -DB]],facs_constr_max) + tech_1_11*TblTech[[#This Row],[11-1]] + tech_6_3_2*TblTech[[#This Row],[6-3]] + tech_5_2_3*TblTech[[#This Row],[5-2]], 1-global_constr_cap) * TblConstr[[#This Row],[RCPA Lumber]],0)</f>
        <v>48</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0" s="94">
        <f ca="1">ROUNDDOWN( MAX(1 - MIN(facs_constr_factor*TblConstr[[#This Row],[Facs DB]],facs_constr_max) + tech_1_11*TblTech[[#This Row],[1-11]] + tech_6_3_2*TblTech[[#This Row],[6-3]] + tech_5_2_3*TblTech[[#This Row],[5-2]], 1-global_constr_cap) * ROUND((TblConstr[[#This Row],[Land]]-250)*0.285 + 87.5 + 0/4.25,0),0)</f>
        <v>48</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675</v>
      </c>
      <c r="AW60" s="94">
        <f ca="1">ROUND((TblConstr[[#This Row],[Land]]-250 - IF(TblExplore[[#This Row],[Land Bonus]]&lt;&gt;0,20,0))*0.285 + 87.5 + 0/4.25,0)</f>
        <v>48</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110</v>
      </c>
      <c r="BU60" s="159">
        <f ca="1">TblImps[[#This Row],[Time]]</f>
        <v>46104.083333333198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90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90</v>
      </c>
      <c r="DH60" s="45">
        <f t="shared" ca="1" si="10"/>
        <v>0</v>
      </c>
      <c r="DI60" s="45">
        <f t="shared" ca="1" si="0"/>
        <v>0</v>
      </c>
      <c r="DJ60" s="45">
        <f t="shared" ca="1" si="1"/>
        <v>0</v>
      </c>
    </row>
    <row r="61" spans="1:114" x14ac:dyDescent="0.2">
      <c r="A61" s="175">
        <f>TblRezone[[#This Row],[Hour]]</f>
        <v>58</v>
      </c>
      <c r="B61" s="176">
        <f ca="1">SUM(TblConstr[[#This Row],[Plain]:[Water]])</f>
        <v>60</v>
      </c>
      <c r="C61" s="177">
        <f ca="1">SUM(TblConstr[[#This Row],[Tot Hom]:[Tot Doc]])</f>
        <v>50</v>
      </c>
      <c r="D61" s="177">
        <f t="shared" si="11"/>
        <v>0</v>
      </c>
      <c r="E61" s="178"/>
      <c r="F61" s="61">
        <f ca="1">TblConstr[[#This Row],[Barren]]+TblConstr[[#This Row],[Buildings]]+TblConstr[[#This Row],[Incoming]]</f>
        <v>110</v>
      </c>
      <c r="G61" s="187">
        <f ca="1">OFFSET(TblConstr[[#This Row],[Plain]],-1,0)+TblConstr[[#This Row],[Ch_Plain]]</f>
        <v>60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46104.124999999862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147264</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1" s="94">
        <f ca="1">ROUNDDOWN( MAX(1 - MIN(facs_constr_factor*TblConstr[[#This Row],[Facs -DB]],facs_constr_max) + tech_1_11*TblTech[[#This Row],[11-1]] + tech_6_3_2*TblTech[[#This Row],[6-3]] + tech_5_2_3*TblTech[[#This Row],[5-2]], 1-global_constr_cap) * TblConstr[[#This Row],[RCPA Lumber]],0)</f>
        <v>48</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1" s="94">
        <f ca="1">ROUNDDOWN( MAX(1 - MIN(facs_constr_factor*TblConstr[[#This Row],[Facs DB]],facs_constr_max) + tech_1_11*TblTech[[#This Row],[1-11]] + tech_6_3_2*TblTech[[#This Row],[6-3]] + tech_5_2_3*TblTech[[#This Row],[5-2]], 1-global_constr_cap) * ROUND((TblConstr[[#This Row],[Land]]-250)*0.285 + 87.5 + 0/4.25,0),0)</f>
        <v>48</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675</v>
      </c>
      <c r="AW61" s="94">
        <f ca="1">ROUND((TblConstr[[#This Row],[Land]]-250 - IF(TblExplore[[#This Row],[Land Bonus]]&lt;&gt;0,20,0))*0.285 + 87.5 + 0/4.25,0)</f>
        <v>48</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110</v>
      </c>
      <c r="BU61" s="159">
        <f ca="1">TblImps[[#This Row],[Time]]</f>
        <v>46104.124999999862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90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90</v>
      </c>
      <c r="DH61" s="45">
        <f t="shared" ca="1" si="10"/>
        <v>0</v>
      </c>
      <c r="DI61" s="45">
        <f t="shared" ca="1" si="0"/>
        <v>0</v>
      </c>
      <c r="DJ61" s="45">
        <f t="shared" ca="1" si="1"/>
        <v>0</v>
      </c>
    </row>
    <row r="62" spans="1:114" x14ac:dyDescent="0.2">
      <c r="A62" s="175">
        <f>TblRezone[[#This Row],[Hour]]</f>
        <v>59</v>
      </c>
      <c r="B62" s="176">
        <f ca="1">SUM(TblConstr[[#This Row],[Plain]:[Water]])</f>
        <v>60</v>
      </c>
      <c r="C62" s="177">
        <f ca="1">SUM(TblConstr[[#This Row],[Tot Hom]:[Tot Doc]])</f>
        <v>50</v>
      </c>
      <c r="D62" s="177">
        <f t="shared" si="11"/>
        <v>0</v>
      </c>
      <c r="E62" s="178"/>
      <c r="F62" s="61">
        <f ca="1">TblConstr[[#This Row],[Barren]]+TblConstr[[#This Row],[Buildings]]+TblConstr[[#This Row],[Incoming]]</f>
        <v>110</v>
      </c>
      <c r="G62" s="187">
        <f ca="1">OFFSET(TblConstr[[#This Row],[Plain]],-1,0)+TblConstr[[#This Row],[Ch_Plain]]</f>
        <v>60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46104.166666666526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148789</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2" s="94">
        <f ca="1">ROUNDDOWN( MAX(1 - MIN(facs_constr_factor*TblConstr[[#This Row],[Facs -DB]],facs_constr_max) + tech_1_11*TblTech[[#This Row],[11-1]] + tech_6_3_2*TblTech[[#This Row],[6-3]] + tech_5_2_3*TblTech[[#This Row],[5-2]], 1-global_constr_cap) * TblConstr[[#This Row],[RCPA Lumber]],0)</f>
        <v>48</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2" s="94">
        <f ca="1">ROUNDDOWN( MAX(1 - MIN(facs_constr_factor*TblConstr[[#This Row],[Facs DB]],facs_constr_max) + tech_1_11*TblTech[[#This Row],[1-11]] + tech_6_3_2*TblTech[[#This Row],[6-3]] + tech_5_2_3*TblTech[[#This Row],[5-2]], 1-global_constr_cap) * ROUND((TblConstr[[#This Row],[Land]]-250)*0.285 + 87.5 + 0/4.25,0),0)</f>
        <v>48</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675</v>
      </c>
      <c r="AW62" s="94">
        <f ca="1">ROUND((TblConstr[[#This Row],[Land]]-250 - IF(TblExplore[[#This Row],[Land Bonus]]&lt;&gt;0,20,0))*0.285 + 87.5 + 0/4.25,0)</f>
        <v>48</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110</v>
      </c>
      <c r="BU62" s="159">
        <f ca="1">TblImps[[#This Row],[Time]]</f>
        <v>46104.166666666526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90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90</v>
      </c>
      <c r="DH62" s="45">
        <f t="shared" ca="1" si="10"/>
        <v>0</v>
      </c>
      <c r="DI62" s="45">
        <f t="shared" ca="1" si="0"/>
        <v>0</v>
      </c>
      <c r="DJ62" s="45">
        <f t="shared" ca="1" si="1"/>
        <v>0</v>
      </c>
    </row>
    <row r="63" spans="1:114" x14ac:dyDescent="0.2">
      <c r="A63" s="175">
        <f>TblRezone[[#This Row],[Hour]]</f>
        <v>60</v>
      </c>
      <c r="B63" s="176">
        <f ca="1">SUM(TblConstr[[#This Row],[Plain]:[Water]])</f>
        <v>60</v>
      </c>
      <c r="C63" s="177">
        <f ca="1">SUM(TblConstr[[#This Row],[Tot Hom]:[Tot Doc]])</f>
        <v>50</v>
      </c>
      <c r="D63" s="177">
        <f t="shared" si="11"/>
        <v>0</v>
      </c>
      <c r="E63" s="178"/>
      <c r="F63" s="61">
        <f ca="1">TblConstr[[#This Row],[Barren]]+TblConstr[[#This Row],[Buildings]]+TblConstr[[#This Row],[Incoming]]</f>
        <v>110</v>
      </c>
      <c r="G63" s="187">
        <f ca="1">OFFSET(TblConstr[[#This Row],[Plain]],-1,0)+TblConstr[[#This Row],[Ch_Plain]]</f>
        <v>60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46104.20833333319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150298</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3" s="94">
        <f ca="1">ROUNDDOWN( MAX(1 - MIN(facs_constr_factor*TblConstr[[#This Row],[Facs -DB]],facs_constr_max) + tech_1_11*TblTech[[#This Row],[11-1]] + tech_6_3_2*TblTech[[#This Row],[6-3]] + tech_5_2_3*TblTech[[#This Row],[5-2]], 1-global_constr_cap) * TblConstr[[#This Row],[RCPA Lumber]],0)</f>
        <v>48</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3" s="94">
        <f ca="1">ROUNDDOWN( MAX(1 - MIN(facs_constr_factor*TblConstr[[#This Row],[Facs DB]],facs_constr_max) + tech_1_11*TblTech[[#This Row],[1-11]] + tech_6_3_2*TblTech[[#This Row],[6-3]] + tech_5_2_3*TblTech[[#This Row],[5-2]], 1-global_constr_cap) * ROUND((TblConstr[[#This Row],[Land]]-250)*0.285 + 87.5 + 0/4.25,0),0)</f>
        <v>48</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675</v>
      </c>
      <c r="AW63" s="94">
        <f ca="1">ROUND((TblConstr[[#This Row],[Land]]-250 - IF(TblExplore[[#This Row],[Land Bonus]]&lt;&gt;0,20,0))*0.285 + 87.5 + 0/4.25,0)</f>
        <v>48</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110</v>
      </c>
      <c r="BU63" s="159">
        <f ca="1">TblImps[[#This Row],[Time]]</f>
        <v>46104.20833333319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90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90</v>
      </c>
      <c r="DH63" s="45">
        <f t="shared" ca="1" si="10"/>
        <v>0</v>
      </c>
      <c r="DI63" s="45">
        <f t="shared" ca="1" si="0"/>
        <v>0</v>
      </c>
      <c r="DJ63" s="45">
        <f t="shared" ca="1" si="1"/>
        <v>0</v>
      </c>
    </row>
    <row r="64" spans="1:114" x14ac:dyDescent="0.2">
      <c r="A64" s="175">
        <f>TblRezone[[#This Row],[Hour]]</f>
        <v>61</v>
      </c>
      <c r="B64" s="176">
        <f ca="1">SUM(TblConstr[[#This Row],[Plain]:[Water]])</f>
        <v>60</v>
      </c>
      <c r="C64" s="177">
        <f ca="1">SUM(TblConstr[[#This Row],[Tot Hom]:[Tot Doc]])</f>
        <v>50</v>
      </c>
      <c r="D64" s="177">
        <f t="shared" si="11"/>
        <v>0</v>
      </c>
      <c r="E64" s="178"/>
      <c r="F64" s="61">
        <f ca="1">TblConstr[[#This Row],[Barren]]+TblConstr[[#This Row],[Buildings]]+TblConstr[[#This Row],[Incoming]]</f>
        <v>110</v>
      </c>
      <c r="G64" s="187">
        <f ca="1">OFFSET(TblConstr[[#This Row],[Plain]],-1,0)+TblConstr[[#This Row],[Ch_Plain]]</f>
        <v>60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46104.249999999854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151791</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4" s="94">
        <f ca="1">ROUNDDOWN( MAX(1 - MIN(facs_constr_factor*TblConstr[[#This Row],[Facs -DB]],facs_constr_max) + tech_1_11*TblTech[[#This Row],[11-1]] + tech_6_3_2*TblTech[[#This Row],[6-3]] + tech_5_2_3*TblTech[[#This Row],[5-2]], 1-global_constr_cap) * TblConstr[[#This Row],[RCPA Lumber]],0)</f>
        <v>48</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4" s="94">
        <f ca="1">ROUNDDOWN( MAX(1 - MIN(facs_constr_factor*TblConstr[[#This Row],[Facs DB]],facs_constr_max) + tech_1_11*TblTech[[#This Row],[1-11]] + tech_6_3_2*TblTech[[#This Row],[6-3]] + tech_5_2_3*TblTech[[#This Row],[5-2]], 1-global_constr_cap) * ROUND((TblConstr[[#This Row],[Land]]-250)*0.285 + 87.5 + 0/4.25,0),0)</f>
        <v>48</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675</v>
      </c>
      <c r="AW64" s="94">
        <f ca="1">ROUND((TblConstr[[#This Row],[Land]]-250 - IF(TblExplore[[#This Row],[Land Bonus]]&lt;&gt;0,20,0))*0.285 + 87.5 + 0/4.25,0)</f>
        <v>48</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110</v>
      </c>
      <c r="BU64" s="159">
        <f ca="1">TblImps[[#This Row],[Time]]</f>
        <v>46104.249999999854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90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90</v>
      </c>
      <c r="DH64" s="45">
        <f t="shared" ca="1" si="10"/>
        <v>0</v>
      </c>
      <c r="DI64" s="45">
        <f t="shared" ca="1" si="0"/>
        <v>0</v>
      </c>
      <c r="DJ64" s="45">
        <f t="shared" ca="1" si="1"/>
        <v>0</v>
      </c>
    </row>
    <row r="65" spans="1:114" x14ac:dyDescent="0.2">
      <c r="A65" s="175">
        <f>TblRezone[[#This Row],[Hour]]</f>
        <v>62</v>
      </c>
      <c r="B65" s="176">
        <f ca="1">SUM(TblConstr[[#This Row],[Plain]:[Water]])</f>
        <v>60</v>
      </c>
      <c r="C65" s="177">
        <f ca="1">SUM(TblConstr[[#This Row],[Tot Hom]:[Tot Doc]])</f>
        <v>50</v>
      </c>
      <c r="D65" s="177">
        <f t="shared" si="11"/>
        <v>0</v>
      </c>
      <c r="E65" s="178"/>
      <c r="F65" s="61">
        <f ca="1">TblConstr[[#This Row],[Barren]]+TblConstr[[#This Row],[Buildings]]+TblConstr[[#This Row],[Incoming]]</f>
        <v>110</v>
      </c>
      <c r="G65" s="187">
        <f ca="1">OFFSET(TblConstr[[#This Row],[Plain]],-1,0)+TblConstr[[#This Row],[Ch_Plain]]</f>
        <v>60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46104.291666666519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153267</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5" s="94">
        <f ca="1">ROUNDDOWN( MAX(1 - MIN(facs_constr_factor*TblConstr[[#This Row],[Facs -DB]],facs_constr_max) + tech_1_11*TblTech[[#This Row],[11-1]] + tech_6_3_2*TblTech[[#This Row],[6-3]] + tech_5_2_3*TblTech[[#This Row],[5-2]], 1-global_constr_cap) * TblConstr[[#This Row],[RCPA Lumber]],0)</f>
        <v>48</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5" s="94">
        <f ca="1">ROUNDDOWN( MAX(1 - MIN(facs_constr_factor*TblConstr[[#This Row],[Facs DB]],facs_constr_max) + tech_1_11*TblTech[[#This Row],[1-11]] + tech_6_3_2*TblTech[[#This Row],[6-3]] + tech_5_2_3*TblTech[[#This Row],[5-2]], 1-global_constr_cap) * ROUND((TblConstr[[#This Row],[Land]]-250)*0.285 + 87.5 + 0/4.25,0),0)</f>
        <v>48</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675</v>
      </c>
      <c r="AW65" s="94">
        <f ca="1">ROUND((TblConstr[[#This Row],[Land]]-250 - IF(TblExplore[[#This Row],[Land Bonus]]&lt;&gt;0,20,0))*0.285 + 87.5 + 0/4.25,0)</f>
        <v>48</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110</v>
      </c>
      <c r="BU65" s="159">
        <f ca="1">TblImps[[#This Row],[Time]]</f>
        <v>46104.291666666519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90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90</v>
      </c>
      <c r="DH65" s="45">
        <f t="shared" ca="1" si="10"/>
        <v>0</v>
      </c>
      <c r="DI65" s="45">
        <f t="shared" ca="1" si="0"/>
        <v>0</v>
      </c>
      <c r="DJ65" s="45">
        <f t="shared" ca="1" si="1"/>
        <v>0</v>
      </c>
    </row>
    <row r="66" spans="1:114" x14ac:dyDescent="0.2">
      <c r="A66" s="175">
        <f>TblRezone[[#This Row],[Hour]]</f>
        <v>63</v>
      </c>
      <c r="B66" s="176">
        <f ca="1">SUM(TblConstr[[#This Row],[Plain]:[Water]])</f>
        <v>60</v>
      </c>
      <c r="C66" s="177">
        <f ca="1">SUM(TblConstr[[#This Row],[Tot Hom]:[Tot Doc]])</f>
        <v>50</v>
      </c>
      <c r="D66" s="177">
        <f t="shared" si="11"/>
        <v>0</v>
      </c>
      <c r="E66" s="178"/>
      <c r="F66" s="61">
        <f ca="1">TblConstr[[#This Row],[Barren]]+TblConstr[[#This Row],[Buildings]]+TblConstr[[#This Row],[Incoming]]</f>
        <v>110</v>
      </c>
      <c r="G66" s="187">
        <f ca="1">OFFSET(TblConstr[[#This Row],[Plain]],-1,0)+TblConstr[[#This Row],[Ch_Plain]]</f>
        <v>60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46104.333333333183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154730</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6" s="94">
        <f ca="1">ROUNDDOWN( MAX(1 - MIN(facs_constr_factor*TblConstr[[#This Row],[Facs -DB]],facs_constr_max) + tech_1_11*TblTech[[#This Row],[11-1]] + tech_6_3_2*TblTech[[#This Row],[6-3]] + tech_5_2_3*TblTech[[#This Row],[5-2]], 1-global_constr_cap) * TblConstr[[#This Row],[RCPA Lumber]],0)</f>
        <v>48</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6" s="94">
        <f ca="1">ROUNDDOWN( MAX(1 - MIN(facs_constr_factor*TblConstr[[#This Row],[Facs DB]],facs_constr_max) + tech_1_11*TblTech[[#This Row],[1-11]] + tech_6_3_2*TblTech[[#This Row],[6-3]] + tech_5_2_3*TblTech[[#This Row],[5-2]], 1-global_constr_cap) * ROUND((TblConstr[[#This Row],[Land]]-250)*0.285 + 87.5 + 0/4.25,0),0)</f>
        <v>48</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675</v>
      </c>
      <c r="AW66" s="94">
        <f ca="1">ROUND((TblConstr[[#This Row],[Land]]-250 - IF(TblExplore[[#This Row],[Land Bonus]]&lt;&gt;0,20,0))*0.285 + 87.5 + 0/4.25,0)</f>
        <v>48</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110</v>
      </c>
      <c r="BU66" s="159">
        <f ca="1">TblImps[[#This Row],[Time]]</f>
        <v>46104.333333333183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90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90</v>
      </c>
      <c r="DH66" s="45">
        <f t="shared" ca="1" si="10"/>
        <v>0</v>
      </c>
      <c r="DI66" s="45">
        <f t="shared" ca="1" si="0"/>
        <v>0</v>
      </c>
      <c r="DJ66" s="45">
        <f t="shared" ca="1" si="1"/>
        <v>0</v>
      </c>
    </row>
    <row r="67" spans="1:114" x14ac:dyDescent="0.2">
      <c r="A67" s="175">
        <f>TblRezone[[#This Row],[Hour]]</f>
        <v>64</v>
      </c>
      <c r="B67" s="176">
        <f ca="1">SUM(TblConstr[[#This Row],[Plain]:[Water]])</f>
        <v>60</v>
      </c>
      <c r="C67" s="177">
        <f ca="1">SUM(TblConstr[[#This Row],[Tot Hom]:[Tot Doc]])</f>
        <v>50</v>
      </c>
      <c r="D67" s="177">
        <f t="shared" si="11"/>
        <v>0</v>
      </c>
      <c r="E67" s="178"/>
      <c r="F67" s="61">
        <f ca="1">TblConstr[[#This Row],[Barren]]+TblConstr[[#This Row],[Buildings]]+TblConstr[[#This Row],[Incoming]]</f>
        <v>110</v>
      </c>
      <c r="G67" s="187">
        <f ca="1">OFFSET(TblConstr[[#This Row],[Plain]],-1,0)+TblConstr[[#This Row],[Ch_Plain]]</f>
        <v>60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46104.374999999847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156179</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7" s="94">
        <f ca="1">ROUNDDOWN( MAX(1 - MIN(facs_constr_factor*TblConstr[[#This Row],[Facs -DB]],facs_constr_max) + tech_1_11*TblTech[[#This Row],[11-1]] + tech_6_3_2*TblTech[[#This Row],[6-3]] + tech_5_2_3*TblTech[[#This Row],[5-2]], 1-global_constr_cap) * TblConstr[[#This Row],[RCPA Lumber]],0)</f>
        <v>48</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7" s="94">
        <f ca="1">ROUNDDOWN( MAX(1 - MIN(facs_constr_factor*TblConstr[[#This Row],[Facs DB]],facs_constr_max) + tech_1_11*TblTech[[#This Row],[1-11]] + tech_6_3_2*TblTech[[#This Row],[6-3]] + tech_5_2_3*TblTech[[#This Row],[5-2]], 1-global_constr_cap) * ROUND((TblConstr[[#This Row],[Land]]-250)*0.285 + 87.5 + 0/4.25,0),0)</f>
        <v>48</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675</v>
      </c>
      <c r="AW67" s="94">
        <f ca="1">ROUND((TblConstr[[#This Row],[Land]]-250 - IF(TblExplore[[#This Row],[Land Bonus]]&lt;&gt;0,20,0))*0.285 + 87.5 + 0/4.25,0)</f>
        <v>48</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110</v>
      </c>
      <c r="BU67" s="159">
        <f ca="1">TblImps[[#This Row],[Time]]</f>
        <v>46104.374999999847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90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90</v>
      </c>
      <c r="DH67" s="45">
        <f t="shared" ca="1" si="10"/>
        <v>0</v>
      </c>
      <c r="DI67" s="45">
        <f t="shared" ca="1" si="0"/>
        <v>0</v>
      </c>
      <c r="DJ67" s="45">
        <f t="shared" ca="1" si="1"/>
        <v>0</v>
      </c>
    </row>
    <row r="68" spans="1:114" x14ac:dyDescent="0.2">
      <c r="A68" s="175">
        <f>TblRezone[[#This Row],[Hour]]</f>
        <v>65</v>
      </c>
      <c r="B68" s="176">
        <f ca="1">SUM(TblConstr[[#This Row],[Plain]:[Water]])</f>
        <v>60</v>
      </c>
      <c r="C68" s="177">
        <f ca="1">SUM(TblConstr[[#This Row],[Tot Hom]:[Tot Doc]])</f>
        <v>50</v>
      </c>
      <c r="D68" s="177">
        <f t="shared" si="11"/>
        <v>0</v>
      </c>
      <c r="E68" s="178"/>
      <c r="F68" s="61">
        <f ca="1">TblConstr[[#This Row],[Barren]]+TblConstr[[#This Row],[Buildings]]+TblConstr[[#This Row],[Incoming]]</f>
        <v>110</v>
      </c>
      <c r="G68" s="187">
        <f ca="1">OFFSET(TblConstr[[#This Row],[Plain]],-1,0)+TblConstr[[#This Row],[Ch_Plain]]</f>
        <v>60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46104.416666666511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157615</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8" s="94">
        <f ca="1">ROUNDDOWN( MAX(1 - MIN(facs_constr_factor*TblConstr[[#This Row],[Facs -DB]],facs_constr_max) + tech_1_11*TblTech[[#This Row],[11-1]] + tech_6_3_2*TblTech[[#This Row],[6-3]] + tech_5_2_3*TblTech[[#This Row],[5-2]], 1-global_constr_cap) * TblConstr[[#This Row],[RCPA Lumber]],0)</f>
        <v>48</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8" s="94">
        <f ca="1">ROUNDDOWN( MAX(1 - MIN(facs_constr_factor*TblConstr[[#This Row],[Facs DB]],facs_constr_max) + tech_1_11*TblTech[[#This Row],[1-11]] + tech_6_3_2*TblTech[[#This Row],[6-3]] + tech_5_2_3*TblTech[[#This Row],[5-2]], 1-global_constr_cap) * ROUND((TblConstr[[#This Row],[Land]]-250)*0.285 + 87.5 + 0/4.25,0),0)</f>
        <v>48</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675</v>
      </c>
      <c r="AW68" s="94">
        <f ca="1">ROUND((TblConstr[[#This Row],[Land]]-250 - IF(TblExplore[[#This Row],[Land Bonus]]&lt;&gt;0,20,0))*0.285 + 87.5 + 0/4.25,0)</f>
        <v>48</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110</v>
      </c>
      <c r="BU68" s="159">
        <f ca="1">TblImps[[#This Row],[Time]]</f>
        <v>46104.416666666511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90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90</v>
      </c>
      <c r="DH68" s="45">
        <f t="shared" ca="1" si="10"/>
        <v>0</v>
      </c>
      <c r="DI68" s="45">
        <f t="shared" ca="1" si="0"/>
        <v>0</v>
      </c>
      <c r="DJ68" s="45">
        <f t="shared" ca="1" si="1"/>
        <v>0</v>
      </c>
    </row>
    <row r="69" spans="1:114" x14ac:dyDescent="0.2">
      <c r="A69" s="175">
        <f>TblRezone[[#This Row],[Hour]]</f>
        <v>66</v>
      </c>
      <c r="B69" s="176">
        <f ca="1">SUM(TblConstr[[#This Row],[Plain]:[Water]])</f>
        <v>60</v>
      </c>
      <c r="C69" s="177">
        <f ca="1">SUM(TblConstr[[#This Row],[Tot Hom]:[Tot Doc]])</f>
        <v>50</v>
      </c>
      <c r="D69" s="177">
        <f t="shared" si="11"/>
        <v>0</v>
      </c>
      <c r="E69" s="178"/>
      <c r="F69" s="61">
        <f ca="1">TblConstr[[#This Row],[Barren]]+TblConstr[[#This Row],[Buildings]]+TblConstr[[#This Row],[Incoming]]</f>
        <v>110</v>
      </c>
      <c r="G69" s="187">
        <f ca="1">OFFSET(TblConstr[[#This Row],[Plain]],-1,0)+TblConstr[[#This Row],[Ch_Plain]]</f>
        <v>60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46104.458333333176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159037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9" s="94">
        <f ca="1">ROUNDDOWN( MAX(1 - MIN(facs_constr_factor*TblConstr[[#This Row],[Facs -DB]],facs_constr_max) + tech_1_11*TblTech[[#This Row],[11-1]] + tech_6_3_2*TblTech[[#This Row],[6-3]] + tech_5_2_3*TblTech[[#This Row],[5-2]], 1-global_constr_cap) * TblConstr[[#This Row],[RCPA Lumber]],0)</f>
        <v>48</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9" s="94">
        <f ca="1">ROUNDDOWN( MAX(1 - MIN(facs_constr_factor*TblConstr[[#This Row],[Facs DB]],facs_constr_max) + tech_1_11*TblTech[[#This Row],[1-11]] + tech_6_3_2*TblTech[[#This Row],[6-3]] + tech_5_2_3*TblTech[[#This Row],[5-2]], 1-global_constr_cap) * ROUND((TblConstr[[#This Row],[Land]]-250)*0.285 + 87.5 + 0/4.25,0),0)</f>
        <v>48</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675</v>
      </c>
      <c r="AW69" s="94">
        <f ca="1">ROUND((TblConstr[[#This Row],[Land]]-250 - IF(TblExplore[[#This Row],[Land Bonus]]&lt;&gt;0,20,0))*0.285 + 87.5 + 0/4.25,0)</f>
        <v>48</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110</v>
      </c>
      <c r="BU69" s="159">
        <f ca="1">TblImps[[#This Row],[Time]]</f>
        <v>46104.458333333176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90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90</v>
      </c>
      <c r="DH69" s="45">
        <f t="shared" ca="1" si="10"/>
        <v>0</v>
      </c>
      <c r="DI69" s="45">
        <f t="shared" ca="1" si="0"/>
        <v>0</v>
      </c>
      <c r="DJ69" s="45">
        <f t="shared" ca="1" si="1"/>
        <v>0</v>
      </c>
    </row>
    <row r="70" spans="1:114" x14ac:dyDescent="0.2">
      <c r="A70" s="175">
        <f>TblRezone[[#This Row],[Hour]]</f>
        <v>67</v>
      </c>
      <c r="B70" s="176">
        <f ca="1">SUM(TblConstr[[#This Row],[Plain]:[Water]])</f>
        <v>60</v>
      </c>
      <c r="C70" s="177">
        <f ca="1">SUM(TblConstr[[#This Row],[Tot Hom]:[Tot Doc]])</f>
        <v>50</v>
      </c>
      <c r="D70" s="177">
        <f t="shared" si="11"/>
        <v>0</v>
      </c>
      <c r="E70" s="178"/>
      <c r="F70" s="61">
        <f ca="1">TblConstr[[#This Row],[Barren]]+TblConstr[[#This Row],[Buildings]]+TblConstr[[#This Row],[Incoming]]</f>
        <v>110</v>
      </c>
      <c r="G70" s="187">
        <f ca="1">OFFSET(TblConstr[[#This Row],[Plain]],-1,0)+TblConstr[[#This Row],[Ch_Plain]]</f>
        <v>60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46104.49999999984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160446</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0" s="94">
        <f ca="1">ROUNDDOWN( MAX(1 - MIN(facs_constr_factor*TblConstr[[#This Row],[Facs -DB]],facs_constr_max) + tech_1_11*TblTech[[#This Row],[11-1]] + tech_6_3_2*TblTech[[#This Row],[6-3]] + tech_5_2_3*TblTech[[#This Row],[5-2]], 1-global_constr_cap) * TblConstr[[#This Row],[RCPA Lumber]],0)</f>
        <v>48</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0" s="94">
        <f ca="1">ROUNDDOWN( MAX(1 - MIN(facs_constr_factor*TblConstr[[#This Row],[Facs DB]],facs_constr_max) + tech_1_11*TblTech[[#This Row],[1-11]] + tech_6_3_2*TblTech[[#This Row],[6-3]] + tech_5_2_3*TblTech[[#This Row],[5-2]], 1-global_constr_cap) * ROUND((TblConstr[[#This Row],[Land]]-250)*0.285 + 87.5 + 0/4.25,0),0)</f>
        <v>48</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675</v>
      </c>
      <c r="AW70" s="94">
        <f ca="1">ROUND((TblConstr[[#This Row],[Land]]-250 - IF(TblExplore[[#This Row],[Land Bonus]]&lt;&gt;0,20,0))*0.285 + 87.5 + 0/4.25,0)</f>
        <v>48</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110</v>
      </c>
      <c r="BU70" s="159">
        <f ca="1">TblImps[[#This Row],[Time]]</f>
        <v>46104.49999999984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90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90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60</v>
      </c>
      <c r="C71" s="177">
        <f ca="1">SUM(TblConstr[[#This Row],[Tot Hom]:[Tot Doc]])</f>
        <v>50</v>
      </c>
      <c r="D71" s="177">
        <f t="shared" si="11"/>
        <v>0</v>
      </c>
      <c r="E71" s="178"/>
      <c r="F71" s="61">
        <f ca="1">TblConstr[[#This Row],[Barren]]+TblConstr[[#This Row],[Buildings]]+TblConstr[[#This Row],[Incoming]]</f>
        <v>110</v>
      </c>
      <c r="G71" s="187">
        <f ca="1">OFFSET(TblConstr[[#This Row],[Plain]],-1,0)+TblConstr[[#This Row],[Ch_Plain]]</f>
        <v>60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46104.541666666504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161841</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1" s="94">
        <f ca="1">ROUNDDOWN( MAX(1 - MIN(facs_constr_factor*TblConstr[[#This Row],[Facs -DB]],facs_constr_max) + tech_1_11*TblTech[[#This Row],[11-1]] + tech_6_3_2*TblTech[[#This Row],[6-3]] + tech_5_2_3*TblTech[[#This Row],[5-2]], 1-global_constr_cap) * TblConstr[[#This Row],[RCPA Lumber]],0)</f>
        <v>48</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1" s="94">
        <f ca="1">ROUNDDOWN( MAX(1 - MIN(facs_constr_factor*TblConstr[[#This Row],[Facs DB]],facs_constr_max) + tech_1_11*TblTech[[#This Row],[1-11]] + tech_6_3_2*TblTech[[#This Row],[6-3]] + tech_5_2_3*TblTech[[#This Row],[5-2]], 1-global_constr_cap) * ROUND((TblConstr[[#This Row],[Land]]-250)*0.285 + 87.5 + 0/4.25,0),0)</f>
        <v>48</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675</v>
      </c>
      <c r="AW71" s="94">
        <f ca="1">ROUND((TblConstr[[#This Row],[Land]]-250 - IF(TblExplore[[#This Row],[Land Bonus]]&lt;&gt;0,20,0))*0.285 + 87.5 + 0/4.25,0)</f>
        <v>48</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110</v>
      </c>
      <c r="BU71" s="159">
        <f ca="1">TblImps[[#This Row],[Time]]</f>
        <v>46104.541666666504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90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90</v>
      </c>
      <c r="DH71" s="45">
        <f t="shared" ca="1" si="10"/>
        <v>0</v>
      </c>
      <c r="DI71" s="45">
        <f t="shared" ca="1" si="19"/>
        <v>0</v>
      </c>
      <c r="DJ71" s="45">
        <f t="shared" ca="1" si="20"/>
        <v>0</v>
      </c>
    </row>
    <row r="72" spans="1:114" x14ac:dyDescent="0.2">
      <c r="A72" s="175">
        <f>TblRezone[[#This Row],[Hour]]</f>
        <v>69</v>
      </c>
      <c r="B72" s="176">
        <f ca="1">SUM(TblConstr[[#This Row],[Plain]:[Water]])</f>
        <v>60</v>
      </c>
      <c r="C72" s="177">
        <f ca="1">SUM(TblConstr[[#This Row],[Tot Hom]:[Tot Doc]])</f>
        <v>50</v>
      </c>
      <c r="D72" s="177">
        <f t="shared" si="11"/>
        <v>0</v>
      </c>
      <c r="E72" s="178"/>
      <c r="F72" s="61">
        <f ca="1">TblConstr[[#This Row],[Barren]]+TblConstr[[#This Row],[Buildings]]+TblConstr[[#This Row],[Incoming]]</f>
        <v>110</v>
      </c>
      <c r="G72" s="187">
        <f ca="1">OFFSET(TblConstr[[#This Row],[Plain]],-1,0)+TblConstr[[#This Row],[Ch_Plain]]</f>
        <v>60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46104.583333333168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163223</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2" s="94">
        <f ca="1">ROUNDDOWN( MAX(1 - MIN(facs_constr_factor*TblConstr[[#This Row],[Facs -DB]],facs_constr_max) + tech_1_11*TblTech[[#This Row],[11-1]] + tech_6_3_2*TblTech[[#This Row],[6-3]] + tech_5_2_3*TblTech[[#This Row],[5-2]], 1-global_constr_cap) * TblConstr[[#This Row],[RCPA Lumber]],0)</f>
        <v>48</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2" s="94">
        <f ca="1">ROUNDDOWN( MAX(1 - MIN(facs_constr_factor*TblConstr[[#This Row],[Facs DB]],facs_constr_max) + tech_1_11*TblTech[[#This Row],[1-11]] + tech_6_3_2*TblTech[[#This Row],[6-3]] + tech_5_2_3*TblTech[[#This Row],[5-2]], 1-global_constr_cap) * ROUND((TblConstr[[#This Row],[Land]]-250)*0.285 + 87.5 + 0/4.25,0),0)</f>
        <v>48</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675</v>
      </c>
      <c r="AW72" s="94">
        <f ca="1">ROUND((TblConstr[[#This Row],[Land]]-250 - IF(TblExplore[[#This Row],[Land Bonus]]&lt;&gt;0,20,0))*0.285 + 87.5 + 0/4.25,0)</f>
        <v>48</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110</v>
      </c>
      <c r="BU72" s="159">
        <f ca="1">TblImps[[#This Row],[Time]]</f>
        <v>46104.583333333168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90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90</v>
      </c>
      <c r="DH72" s="45">
        <f t="shared" ca="1" si="10"/>
        <v>0</v>
      </c>
      <c r="DI72" s="45">
        <f t="shared" ca="1" si="19"/>
        <v>0</v>
      </c>
      <c r="DJ72" s="45">
        <f t="shared" ca="1" si="20"/>
        <v>0</v>
      </c>
    </row>
    <row r="73" spans="1:114" x14ac:dyDescent="0.2">
      <c r="A73" s="175">
        <f>TblRezone[[#This Row],[Hour]]</f>
        <v>70</v>
      </c>
      <c r="B73" s="176">
        <f ca="1">SUM(TblConstr[[#This Row],[Plain]:[Water]])</f>
        <v>60</v>
      </c>
      <c r="C73" s="177">
        <f ca="1">SUM(TblConstr[[#This Row],[Tot Hom]:[Tot Doc]])</f>
        <v>50</v>
      </c>
      <c r="D73" s="177">
        <f t="shared" si="11"/>
        <v>0</v>
      </c>
      <c r="E73" s="178"/>
      <c r="F73" s="61">
        <f ca="1">TblConstr[[#This Row],[Barren]]+TblConstr[[#This Row],[Buildings]]+TblConstr[[#This Row],[Incoming]]</f>
        <v>110</v>
      </c>
      <c r="G73" s="187">
        <f ca="1">OFFSET(TblConstr[[#This Row],[Plain]],-1,0)+TblConstr[[#This Row],[Ch_Plain]]</f>
        <v>60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46104.624999999833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164591</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3" s="94">
        <f ca="1">ROUNDDOWN( MAX(1 - MIN(facs_constr_factor*TblConstr[[#This Row],[Facs -DB]],facs_constr_max) + tech_1_11*TblTech[[#This Row],[11-1]] + tech_6_3_2*TblTech[[#This Row],[6-3]] + tech_5_2_3*TblTech[[#This Row],[5-2]], 1-global_constr_cap) * TblConstr[[#This Row],[RCPA Lumber]],0)</f>
        <v>48</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3" s="94">
        <f ca="1">ROUNDDOWN( MAX(1 - MIN(facs_constr_factor*TblConstr[[#This Row],[Facs DB]],facs_constr_max) + tech_1_11*TblTech[[#This Row],[1-11]] + tech_6_3_2*TblTech[[#This Row],[6-3]] + tech_5_2_3*TblTech[[#This Row],[5-2]], 1-global_constr_cap) * ROUND((TblConstr[[#This Row],[Land]]-250)*0.285 + 87.5 + 0/4.25,0),0)</f>
        <v>48</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675</v>
      </c>
      <c r="AW73" s="94">
        <f ca="1">ROUND((TblConstr[[#This Row],[Land]]-250 - IF(TblExplore[[#This Row],[Land Bonus]]&lt;&gt;0,20,0))*0.285 + 87.5 + 0/4.25,0)</f>
        <v>48</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110</v>
      </c>
      <c r="BU73" s="159">
        <f ca="1">TblImps[[#This Row],[Time]]</f>
        <v>46104.624999999833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90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90</v>
      </c>
      <c r="DH73" s="45">
        <f t="shared" ca="1" si="10"/>
        <v>0</v>
      </c>
      <c r="DI73" s="45">
        <f t="shared" ca="1" si="19"/>
        <v>0</v>
      </c>
      <c r="DJ73" s="45">
        <f t="shared" ca="1" si="20"/>
        <v>0</v>
      </c>
    </row>
    <row r="74" spans="1:114" x14ac:dyDescent="0.2">
      <c r="A74" s="175">
        <f>TblRezone[[#This Row],[Hour]]</f>
        <v>71</v>
      </c>
      <c r="B74" s="176">
        <f ca="1">SUM(TblConstr[[#This Row],[Plain]:[Water]])</f>
        <v>60</v>
      </c>
      <c r="C74" s="177">
        <f ca="1">SUM(TblConstr[[#This Row],[Tot Hom]:[Tot Doc]])</f>
        <v>50</v>
      </c>
      <c r="D74" s="177">
        <f t="shared" si="11"/>
        <v>0</v>
      </c>
      <c r="E74" s="178"/>
      <c r="F74" s="61">
        <f ca="1">TblConstr[[#This Row],[Barren]]+TblConstr[[#This Row],[Buildings]]+TblConstr[[#This Row],[Incoming]]</f>
        <v>110</v>
      </c>
      <c r="G74" s="187">
        <f ca="1">OFFSET(TblConstr[[#This Row],[Plain]],-1,0)+TblConstr[[#This Row],[Ch_Plain]]</f>
        <v>60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46104.666666666497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165946</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4" s="94">
        <f ca="1">ROUNDDOWN( MAX(1 - MIN(facs_constr_factor*TblConstr[[#This Row],[Facs -DB]],facs_constr_max) + tech_1_11*TblTech[[#This Row],[11-1]] + tech_6_3_2*TblTech[[#This Row],[6-3]] + tech_5_2_3*TblTech[[#This Row],[5-2]], 1-global_constr_cap) * TblConstr[[#This Row],[RCPA Lumber]],0)</f>
        <v>48</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4" s="94">
        <f ca="1">ROUNDDOWN( MAX(1 - MIN(facs_constr_factor*TblConstr[[#This Row],[Facs DB]],facs_constr_max) + tech_1_11*TblTech[[#This Row],[1-11]] + tech_6_3_2*TblTech[[#This Row],[6-3]] + tech_5_2_3*TblTech[[#This Row],[5-2]], 1-global_constr_cap) * ROUND((TblConstr[[#This Row],[Land]]-250)*0.285 + 87.5 + 0/4.25,0),0)</f>
        <v>48</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675</v>
      </c>
      <c r="AW74" s="94">
        <f ca="1">ROUND((TblConstr[[#This Row],[Land]]-250 - IF(TblExplore[[#This Row],[Land Bonus]]&lt;&gt;0,20,0))*0.285 + 87.5 + 0/4.25,0)</f>
        <v>48</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110</v>
      </c>
      <c r="BU74" s="159">
        <f ca="1">TblImps[[#This Row],[Time]]</f>
        <v>46104.666666666497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90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90</v>
      </c>
      <c r="DH74" s="45">
        <f t="shared" ca="1" si="10"/>
        <v>0</v>
      </c>
      <c r="DI74" s="45">
        <f t="shared" ca="1" si="19"/>
        <v>0</v>
      </c>
      <c r="DJ74" s="45">
        <f t="shared" ca="1" si="20"/>
        <v>0</v>
      </c>
    </row>
    <row r="75" spans="1:114" x14ac:dyDescent="0.2">
      <c r="A75" s="175">
        <f>TblRezone[[#This Row],[Hour]]</f>
        <v>72</v>
      </c>
      <c r="B75" s="176">
        <f ca="1">SUM(TblConstr[[#This Row],[Plain]:[Water]])</f>
        <v>60</v>
      </c>
      <c r="C75" s="177">
        <f ca="1">SUM(TblConstr[[#This Row],[Tot Hom]:[Tot Doc]])</f>
        <v>50</v>
      </c>
      <c r="D75" s="177">
        <f t="shared" si="11"/>
        <v>0</v>
      </c>
      <c r="E75" s="178"/>
      <c r="F75" s="61">
        <f ca="1">TblConstr[[#This Row],[Barren]]+TblConstr[[#This Row],[Buildings]]+TblConstr[[#This Row],[Incoming]]</f>
        <v>110</v>
      </c>
      <c r="G75" s="187">
        <f ca="1">OFFSET(TblConstr[[#This Row],[Plain]],-1,0)+TblConstr[[#This Row],[Ch_Plain]]</f>
        <v>60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46104.708333333161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167287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5" s="94">
        <f ca="1">ROUNDDOWN( MAX(1 - MIN(facs_constr_factor*TblConstr[[#This Row],[Facs -DB]],facs_constr_max) + tech_1_11*TblTech[[#This Row],[11-1]] + tech_6_3_2*TblTech[[#This Row],[6-3]] + tech_5_2_3*TblTech[[#This Row],[5-2]], 1-global_constr_cap) * TblConstr[[#This Row],[RCPA Lumber]],0)</f>
        <v>48</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5" s="94">
        <f ca="1">ROUNDDOWN( MAX(1 - MIN(facs_constr_factor*TblConstr[[#This Row],[Facs DB]],facs_constr_max) + tech_1_11*TblTech[[#This Row],[1-11]] + tech_6_3_2*TblTech[[#This Row],[6-3]] + tech_5_2_3*TblTech[[#This Row],[5-2]], 1-global_constr_cap) * ROUND((TblConstr[[#This Row],[Land]]-250)*0.285 + 87.5 + 0/4.25,0),0)</f>
        <v>48</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675</v>
      </c>
      <c r="AW75" s="94">
        <f ca="1">ROUND((TblConstr[[#This Row],[Land]]-250 - IF(TblExplore[[#This Row],[Land Bonus]]&lt;&gt;0,20,0))*0.285 + 87.5 + 0/4.25,0)</f>
        <v>48</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110</v>
      </c>
      <c r="BU75" s="159">
        <f ca="1">TblImps[[#This Row],[Time]]</f>
        <v>46104.708333333161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90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90</v>
      </c>
      <c r="DH75" s="45">
        <f t="shared" ca="1" si="10"/>
        <v>0</v>
      </c>
      <c r="DI75" s="45">
        <f t="shared" ca="1" si="19"/>
        <v>0</v>
      </c>
      <c r="DJ75" s="45">
        <f t="shared" ca="1" si="20"/>
        <v>0</v>
      </c>
    </row>
    <row r="76" spans="1:114" x14ac:dyDescent="0.2">
      <c r="A76" s="175">
        <f>TblRezone[[#This Row],[Hour]]</f>
        <v>73</v>
      </c>
      <c r="B76" s="426">
        <f ca="1">SUM(TblConstr[[#This Row],[Plain]:[Water]])</f>
        <v>60</v>
      </c>
      <c r="C76" s="427">
        <f ca="1">SUM(TblConstr[[#This Row],[Tot Hom]:[Tot Doc]])</f>
        <v>50</v>
      </c>
      <c r="D76" s="427">
        <f t="shared" ref="D76:D131" si="21">SUM(O65:AG76)</f>
        <v>0</v>
      </c>
      <c r="E76" s="178"/>
      <c r="F76" s="428">
        <f ca="1">TblConstr[[#This Row],[Barren]]+TblConstr[[#This Row],[Buildings]]+TblConstr[[#This Row],[Incoming]]</f>
        <v>110</v>
      </c>
      <c r="G76" s="187">
        <f ca="1">OFFSET(TblConstr[[#This Row],[Plain]],-1,0)+TblConstr[[#This Row],[Ch_Plain]]</f>
        <v>60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46104.749999999825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168615</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6" s="430">
        <f ca="1">ROUNDDOWN( MAX(1 - MIN(facs_constr_factor*TblConstr[[#This Row],[Facs -DB]],facs_constr_max) + tech_1_11*TblTech[[#This Row],[11-1]] + tech_6_3_2*TblTech[[#This Row],[6-3]] + tech_5_2_3*TblTech[[#This Row],[5-2]], 1-global_constr_cap) * TblConstr[[#This Row],[RCPA Lumber]],0)</f>
        <v>48</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6" s="430">
        <f ca="1">ROUNDDOWN( MAX(1 - MIN(facs_constr_factor*TblConstr[[#This Row],[Facs DB]],facs_constr_max) + tech_1_11*TblTech[[#This Row],[1-11]] + tech_6_3_2*TblTech[[#This Row],[6-3]] + tech_5_2_3*TblTech[[#This Row],[5-2]], 1-global_constr_cap) * ROUND((TblConstr[[#This Row],[Land]]-250)*0.285 + 87.5 + 0/4.25,0),0)</f>
        <v>48</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675</v>
      </c>
      <c r="AW76" s="430">
        <f ca="1">ROUND((TblConstr[[#This Row],[Land]]-250 - IF(TblExplore[[#This Row],[Land Bonus]]&lt;&gt;0,20,0))*0.285 + 87.5 + 0/4.25,0)</f>
        <v>48</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110</v>
      </c>
      <c r="BU76" s="432">
        <f ca="1">TblImps[[#This Row],[Time]]</f>
        <v>46104.749999999825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90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90</v>
      </c>
      <c r="DH76" s="433">
        <f t="shared" ref="DH76:DH131" ca="1" si="22">SUM(O65:O76)+AY76</f>
        <v>0</v>
      </c>
      <c r="DI76" s="433">
        <f t="shared" ca="1" si="19"/>
        <v>0</v>
      </c>
      <c r="DJ76" s="433">
        <f t="shared" ca="1" si="20"/>
        <v>0</v>
      </c>
    </row>
    <row r="77" spans="1:114" x14ac:dyDescent="0.2">
      <c r="A77" s="175">
        <f>TblRezone[[#This Row],[Hour]]</f>
        <v>74</v>
      </c>
      <c r="B77" s="176">
        <f ca="1">SUM(TblConstr[[#This Row],[Plain]:[Water]])</f>
        <v>60</v>
      </c>
      <c r="C77" s="177">
        <f ca="1">SUM(TblConstr[[#This Row],[Tot Hom]:[Tot Doc]])</f>
        <v>50</v>
      </c>
      <c r="D77" s="177">
        <f t="shared" si="21"/>
        <v>0</v>
      </c>
      <c r="E77" s="178"/>
      <c r="F77" s="61">
        <f ca="1">TblConstr[[#This Row],[Barren]]+TblConstr[[#This Row],[Buildings]]+TblConstr[[#This Row],[Incoming]]</f>
        <v>110</v>
      </c>
      <c r="G77" s="187">
        <f ca="1">OFFSET(TblConstr[[#This Row],[Plain]],-1,0)+TblConstr[[#This Row],[Ch_Plain]]</f>
        <v>60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46104.79166666649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169929</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7" s="94">
        <f ca="1">ROUNDDOWN( MAX(1 - MIN(facs_constr_factor*TblConstr[[#This Row],[Facs -DB]],facs_constr_max) + tech_1_11*TblTech[[#This Row],[11-1]] + tech_6_3_2*TblTech[[#This Row],[6-3]] + tech_5_2_3*TblTech[[#This Row],[5-2]], 1-global_constr_cap) * TblConstr[[#This Row],[RCPA Lumber]],0)</f>
        <v>48</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7" s="94">
        <f ca="1">ROUNDDOWN( MAX(1 - MIN(facs_constr_factor*TblConstr[[#This Row],[Facs DB]],facs_constr_max) + tech_1_11*TblTech[[#This Row],[1-11]] + tech_6_3_2*TblTech[[#This Row],[6-3]] + tech_5_2_3*TblTech[[#This Row],[5-2]], 1-global_constr_cap) * ROUND((TblConstr[[#This Row],[Land]]-250)*0.285 + 87.5 + 0/4.25,0),0)</f>
        <v>48</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675</v>
      </c>
      <c r="AW77" s="94">
        <f ca="1">ROUND((TblConstr[[#This Row],[Land]]-250 - IF(TblExplore[[#This Row],[Land Bonus]]&lt;&gt;0,20,0))*0.285 + 87.5 + 0/4.25,0)</f>
        <v>48</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110</v>
      </c>
      <c r="BU77" s="159">
        <f ca="1">TblImps[[#This Row],[Time]]</f>
        <v>46104.79166666649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90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90</v>
      </c>
      <c r="DH77" s="45">
        <f t="shared" ca="1" si="22"/>
        <v>0</v>
      </c>
      <c r="DI77" s="94">
        <f t="shared" ca="1" si="19"/>
        <v>0</v>
      </c>
      <c r="DJ77" s="45">
        <f t="shared" ca="1" si="20"/>
        <v>0</v>
      </c>
    </row>
    <row r="78" spans="1:114" x14ac:dyDescent="0.2">
      <c r="A78" s="175">
        <f>TblRezone[[#This Row],[Hour]]</f>
        <v>75</v>
      </c>
      <c r="B78" s="176">
        <f ca="1">SUM(TblConstr[[#This Row],[Plain]:[Water]])</f>
        <v>60</v>
      </c>
      <c r="C78" s="177">
        <f ca="1">SUM(TblConstr[[#This Row],[Tot Hom]:[Tot Doc]])</f>
        <v>50</v>
      </c>
      <c r="D78" s="177">
        <f t="shared" si="21"/>
        <v>0</v>
      </c>
      <c r="E78" s="178"/>
      <c r="F78" s="61">
        <f ca="1">TblConstr[[#This Row],[Barren]]+TblConstr[[#This Row],[Buildings]]+TblConstr[[#This Row],[Incoming]]</f>
        <v>110</v>
      </c>
      <c r="G78" s="187">
        <f ca="1">OFFSET(TblConstr[[#This Row],[Plain]],-1,0)+TblConstr[[#This Row],[Ch_Plain]]</f>
        <v>60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46104.833333333154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171230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8" s="94">
        <f ca="1">ROUNDDOWN( MAX(1 - MIN(facs_constr_factor*TblConstr[[#This Row],[Facs -DB]],facs_constr_max) + tech_1_11*TblTech[[#This Row],[11-1]] + tech_6_3_2*TblTech[[#This Row],[6-3]] + tech_5_2_3*TblTech[[#This Row],[5-2]], 1-global_constr_cap) * TblConstr[[#This Row],[RCPA Lumber]],0)</f>
        <v>48</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8" s="94">
        <f ca="1">ROUNDDOWN( MAX(1 - MIN(facs_constr_factor*TblConstr[[#This Row],[Facs DB]],facs_constr_max) + tech_1_11*TblTech[[#This Row],[1-11]] + tech_6_3_2*TblTech[[#This Row],[6-3]] + tech_5_2_3*TblTech[[#This Row],[5-2]], 1-global_constr_cap) * ROUND((TblConstr[[#This Row],[Land]]-250)*0.285 + 87.5 + 0/4.25,0),0)</f>
        <v>48</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675</v>
      </c>
      <c r="AW78" s="94">
        <f ca="1">ROUND((TblConstr[[#This Row],[Land]]-250 - IF(TblExplore[[#This Row],[Land Bonus]]&lt;&gt;0,20,0))*0.285 + 87.5 + 0/4.25,0)</f>
        <v>48</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110</v>
      </c>
      <c r="BU78" s="159">
        <f ca="1">TblImps[[#This Row],[Time]]</f>
        <v>46104.833333333154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90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90</v>
      </c>
      <c r="DH78" s="45">
        <f t="shared" ca="1" si="22"/>
        <v>0</v>
      </c>
      <c r="DI78" s="45">
        <f t="shared" ca="1" si="19"/>
        <v>0</v>
      </c>
      <c r="DJ78" s="45">
        <f t="shared" ca="1" si="20"/>
        <v>0</v>
      </c>
    </row>
    <row r="79" spans="1:114" x14ac:dyDescent="0.2">
      <c r="A79" s="175">
        <f>TblRezone[[#This Row],[Hour]]</f>
        <v>76</v>
      </c>
      <c r="B79" s="176">
        <f ca="1">SUM(TblConstr[[#This Row],[Plain]:[Water]])</f>
        <v>60</v>
      </c>
      <c r="C79" s="177">
        <f ca="1">SUM(TblConstr[[#This Row],[Tot Hom]:[Tot Doc]])</f>
        <v>50</v>
      </c>
      <c r="D79" s="177">
        <f t="shared" si="21"/>
        <v>0</v>
      </c>
      <c r="E79" s="178"/>
      <c r="F79" s="61">
        <f ca="1">TblConstr[[#This Row],[Barren]]+TblConstr[[#This Row],[Buildings]]+TblConstr[[#This Row],[Incoming]]</f>
        <v>110</v>
      </c>
      <c r="G79" s="187">
        <f ca="1">OFFSET(TblConstr[[#This Row],[Plain]],-1,0)+TblConstr[[#This Row],[Ch_Plain]]</f>
        <v>60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46104.874999999818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172517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9" s="94">
        <f ca="1">ROUNDDOWN( MAX(1 - MIN(facs_constr_factor*TblConstr[[#This Row],[Facs -DB]],facs_constr_max) + tech_1_11*TblTech[[#This Row],[11-1]] + tech_6_3_2*TblTech[[#This Row],[6-3]] + tech_5_2_3*TblTech[[#This Row],[5-2]], 1-global_constr_cap) * TblConstr[[#This Row],[RCPA Lumber]],0)</f>
        <v>48</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9" s="94">
        <f ca="1">ROUNDDOWN( MAX(1 - MIN(facs_constr_factor*TblConstr[[#This Row],[Facs DB]],facs_constr_max) + tech_1_11*TblTech[[#This Row],[1-11]] + tech_6_3_2*TblTech[[#This Row],[6-3]] + tech_5_2_3*TblTech[[#This Row],[5-2]], 1-global_constr_cap) * ROUND((TblConstr[[#This Row],[Land]]-250)*0.285 + 87.5 + 0/4.25,0),0)</f>
        <v>48</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675</v>
      </c>
      <c r="AW79" s="94">
        <f ca="1">ROUND((TblConstr[[#This Row],[Land]]-250 - IF(TblExplore[[#This Row],[Land Bonus]]&lt;&gt;0,20,0))*0.285 + 87.5 + 0/4.25,0)</f>
        <v>48</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110</v>
      </c>
      <c r="BU79" s="159">
        <f ca="1">TblImps[[#This Row],[Time]]</f>
        <v>46104.874999999818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90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90</v>
      </c>
      <c r="DH79" s="45">
        <f t="shared" ca="1" si="22"/>
        <v>0</v>
      </c>
      <c r="DI79" s="45">
        <f t="shared" ca="1" si="19"/>
        <v>0</v>
      </c>
      <c r="DJ79" s="45">
        <f t="shared" ca="1" si="20"/>
        <v>0</v>
      </c>
    </row>
    <row r="80" spans="1:114" x14ac:dyDescent="0.2">
      <c r="A80" s="175">
        <f>TblRezone[[#This Row],[Hour]]</f>
        <v>77</v>
      </c>
      <c r="B80" s="176">
        <f ca="1">SUM(TblConstr[[#This Row],[Plain]:[Water]])</f>
        <v>60</v>
      </c>
      <c r="C80" s="177">
        <f ca="1">SUM(TblConstr[[#This Row],[Tot Hom]:[Tot Doc]])</f>
        <v>50</v>
      </c>
      <c r="D80" s="177">
        <f t="shared" si="21"/>
        <v>0</v>
      </c>
      <c r="E80" s="178"/>
      <c r="F80" s="61">
        <f ca="1">TblConstr[[#This Row],[Barren]]+TblConstr[[#This Row],[Buildings]]+TblConstr[[#This Row],[Incoming]]</f>
        <v>110</v>
      </c>
      <c r="G80" s="187">
        <f ca="1">OFFSET(TblConstr[[#This Row],[Plain]],-1,0)+TblConstr[[#This Row],[Ch_Plain]]</f>
        <v>60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46104.916666666482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173791</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0" s="94">
        <f ca="1">ROUNDDOWN( MAX(1 - MIN(facs_constr_factor*TblConstr[[#This Row],[Facs -DB]],facs_constr_max) + tech_1_11*TblTech[[#This Row],[11-1]] + tech_6_3_2*TblTech[[#This Row],[6-3]] + tech_5_2_3*TblTech[[#This Row],[5-2]], 1-global_constr_cap) * TblConstr[[#This Row],[RCPA Lumber]],0)</f>
        <v>48</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0" s="94">
        <f ca="1">ROUNDDOWN( MAX(1 - MIN(facs_constr_factor*TblConstr[[#This Row],[Facs DB]],facs_constr_max) + tech_1_11*TblTech[[#This Row],[1-11]] + tech_6_3_2*TblTech[[#This Row],[6-3]] + tech_5_2_3*TblTech[[#This Row],[5-2]], 1-global_constr_cap) * ROUND((TblConstr[[#This Row],[Land]]-250)*0.285 + 87.5 + 0/4.25,0),0)</f>
        <v>48</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675</v>
      </c>
      <c r="AW80" s="94">
        <f ca="1">ROUND((TblConstr[[#This Row],[Land]]-250 - IF(TblExplore[[#This Row],[Land Bonus]]&lt;&gt;0,20,0))*0.285 + 87.5 + 0/4.25,0)</f>
        <v>48</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110</v>
      </c>
      <c r="BU80" s="159">
        <f ca="1">TblImps[[#This Row],[Time]]</f>
        <v>46104.916666666482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90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90</v>
      </c>
      <c r="DH80" s="45">
        <f t="shared" ca="1" si="22"/>
        <v>0</v>
      </c>
      <c r="DI80" s="45">
        <f t="shared" ca="1" si="19"/>
        <v>0</v>
      </c>
      <c r="DJ80" s="45">
        <f t="shared" ca="1" si="20"/>
        <v>0</v>
      </c>
    </row>
    <row r="81" spans="1:114" x14ac:dyDescent="0.2">
      <c r="A81" s="175">
        <f>TblRezone[[#This Row],[Hour]]</f>
        <v>78</v>
      </c>
      <c r="B81" s="176">
        <f ca="1">SUM(TblConstr[[#This Row],[Plain]:[Water]])</f>
        <v>60</v>
      </c>
      <c r="C81" s="177">
        <f ca="1">SUM(TblConstr[[#This Row],[Tot Hom]:[Tot Doc]])</f>
        <v>50</v>
      </c>
      <c r="D81" s="177">
        <f t="shared" si="21"/>
        <v>0</v>
      </c>
      <c r="E81" s="178"/>
      <c r="F81" s="61">
        <f ca="1">TblConstr[[#This Row],[Barren]]+TblConstr[[#This Row],[Buildings]]+TblConstr[[#This Row],[Incoming]]</f>
        <v>110</v>
      </c>
      <c r="G81" s="187">
        <f ca="1">OFFSET(TblConstr[[#This Row],[Plain]],-1,0)+TblConstr[[#This Row],[Ch_Plain]]</f>
        <v>60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46104.958333333147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175051</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1" s="94">
        <f ca="1">ROUNDDOWN( MAX(1 - MIN(facs_constr_factor*TblConstr[[#This Row],[Facs -DB]],facs_constr_max) + tech_1_11*TblTech[[#This Row],[11-1]] + tech_6_3_2*TblTech[[#This Row],[6-3]] + tech_5_2_3*TblTech[[#This Row],[5-2]], 1-global_constr_cap) * TblConstr[[#This Row],[RCPA Lumber]],0)</f>
        <v>48</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1" s="94">
        <f ca="1">ROUNDDOWN( MAX(1 - MIN(facs_constr_factor*TblConstr[[#This Row],[Facs DB]],facs_constr_max) + tech_1_11*TblTech[[#This Row],[1-11]] + tech_6_3_2*TblTech[[#This Row],[6-3]] + tech_5_2_3*TblTech[[#This Row],[5-2]], 1-global_constr_cap) * ROUND((TblConstr[[#This Row],[Land]]-250)*0.285 + 87.5 + 0/4.25,0),0)</f>
        <v>48</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675</v>
      </c>
      <c r="AW81" s="94">
        <f ca="1">ROUND((TblConstr[[#This Row],[Land]]-250 - IF(TblExplore[[#This Row],[Land Bonus]]&lt;&gt;0,20,0))*0.285 + 87.5 + 0/4.25,0)</f>
        <v>48</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110</v>
      </c>
      <c r="BU81" s="159">
        <f ca="1">TblImps[[#This Row],[Time]]</f>
        <v>46104.958333333147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90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90</v>
      </c>
      <c r="DH81" s="45">
        <f t="shared" ca="1" si="22"/>
        <v>0</v>
      </c>
      <c r="DI81" s="45">
        <f t="shared" ca="1" si="19"/>
        <v>0</v>
      </c>
      <c r="DJ81" s="45">
        <f t="shared" ca="1" si="20"/>
        <v>0</v>
      </c>
    </row>
    <row r="82" spans="1:114" x14ac:dyDescent="0.2">
      <c r="A82" s="175">
        <f>TblRezone[[#This Row],[Hour]]</f>
        <v>79</v>
      </c>
      <c r="B82" s="176">
        <f ca="1">SUM(TblConstr[[#This Row],[Plain]:[Water]])</f>
        <v>60</v>
      </c>
      <c r="C82" s="177">
        <f ca="1">SUM(TblConstr[[#This Row],[Tot Hom]:[Tot Doc]])</f>
        <v>50</v>
      </c>
      <c r="D82" s="177">
        <f t="shared" si="21"/>
        <v>0</v>
      </c>
      <c r="E82" s="178"/>
      <c r="F82" s="61">
        <f ca="1">TblConstr[[#This Row],[Barren]]+TblConstr[[#This Row],[Buildings]]+TblConstr[[#This Row],[Incoming]]</f>
        <v>110</v>
      </c>
      <c r="G82" s="187">
        <f ca="1">OFFSET(TblConstr[[#This Row],[Plain]],-1,0)+TblConstr[[#This Row],[Ch_Plain]]</f>
        <v>60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46104.999999999811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176298</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2" s="94">
        <f ca="1">ROUNDDOWN( MAX(1 - MIN(facs_constr_factor*TblConstr[[#This Row],[Facs -DB]],facs_constr_max) + tech_1_11*TblTech[[#This Row],[11-1]] + tech_6_3_2*TblTech[[#This Row],[6-3]] + tech_5_2_3*TblTech[[#This Row],[5-2]], 1-global_constr_cap) * TblConstr[[#This Row],[RCPA Lumber]],0)</f>
        <v>48</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2" s="94">
        <f ca="1">ROUNDDOWN( MAX(1 - MIN(facs_constr_factor*TblConstr[[#This Row],[Facs DB]],facs_constr_max) + tech_1_11*TblTech[[#This Row],[1-11]] + tech_6_3_2*TblTech[[#This Row],[6-3]] + tech_5_2_3*TblTech[[#This Row],[5-2]], 1-global_constr_cap) * ROUND((TblConstr[[#This Row],[Land]]-250)*0.285 + 87.5 + 0/4.25,0),0)</f>
        <v>48</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675</v>
      </c>
      <c r="AW82" s="94">
        <f ca="1">ROUND((TblConstr[[#This Row],[Land]]-250 - IF(TblExplore[[#This Row],[Land Bonus]]&lt;&gt;0,20,0))*0.285 + 87.5 + 0/4.25,0)</f>
        <v>48</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110</v>
      </c>
      <c r="BU82" s="159">
        <f ca="1">TblImps[[#This Row],[Time]]</f>
        <v>46104.999999999811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90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90</v>
      </c>
      <c r="DH82" s="45">
        <f t="shared" ca="1" si="22"/>
        <v>0</v>
      </c>
      <c r="DI82" s="45">
        <f t="shared" ca="1" si="19"/>
        <v>0</v>
      </c>
      <c r="DJ82" s="45">
        <f t="shared" ca="1" si="20"/>
        <v>0</v>
      </c>
    </row>
    <row r="83" spans="1:114" x14ac:dyDescent="0.2">
      <c r="A83" s="175">
        <f>TblRezone[[#This Row],[Hour]]</f>
        <v>80</v>
      </c>
      <c r="B83" s="176">
        <f ca="1">SUM(TblConstr[[#This Row],[Plain]:[Water]])</f>
        <v>60</v>
      </c>
      <c r="C83" s="177">
        <f ca="1">SUM(TblConstr[[#This Row],[Tot Hom]:[Tot Doc]])</f>
        <v>50</v>
      </c>
      <c r="D83" s="177">
        <f t="shared" si="21"/>
        <v>0</v>
      </c>
      <c r="E83" s="178"/>
      <c r="F83" s="61">
        <f ca="1">TblConstr[[#This Row],[Barren]]+TblConstr[[#This Row],[Buildings]]+TblConstr[[#This Row],[Incoming]]</f>
        <v>110</v>
      </c>
      <c r="G83" s="187">
        <f ca="1">OFFSET(TblConstr[[#This Row],[Plain]],-1,0)+TblConstr[[#This Row],[Ch_Plain]]</f>
        <v>60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46105.041666666475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177531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3" s="94">
        <f ca="1">ROUNDDOWN( MAX(1 - MIN(facs_constr_factor*TblConstr[[#This Row],[Facs -DB]],facs_constr_max) + tech_1_11*TblTech[[#This Row],[11-1]] + tech_6_3_2*TblTech[[#This Row],[6-3]] + tech_5_2_3*TblTech[[#This Row],[5-2]], 1-global_constr_cap) * TblConstr[[#This Row],[RCPA Lumber]],0)</f>
        <v>48</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3" s="94">
        <f ca="1">ROUNDDOWN( MAX(1 - MIN(facs_constr_factor*TblConstr[[#This Row],[Facs DB]],facs_constr_max) + tech_1_11*TblTech[[#This Row],[1-11]] + tech_6_3_2*TblTech[[#This Row],[6-3]] + tech_5_2_3*TblTech[[#This Row],[5-2]], 1-global_constr_cap) * ROUND((TblConstr[[#This Row],[Land]]-250)*0.285 + 87.5 + 0/4.25,0),0)</f>
        <v>48</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675</v>
      </c>
      <c r="AW83" s="94">
        <f ca="1">ROUND((TblConstr[[#This Row],[Land]]-250 - IF(TblExplore[[#This Row],[Land Bonus]]&lt;&gt;0,20,0))*0.285 + 87.5 + 0/4.25,0)</f>
        <v>48</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110</v>
      </c>
      <c r="BU83" s="159">
        <f ca="1">TblImps[[#This Row],[Time]]</f>
        <v>46105.041666666475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90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90</v>
      </c>
      <c r="DH83" s="45">
        <f t="shared" ca="1" si="22"/>
        <v>0</v>
      </c>
      <c r="DI83" s="45">
        <f t="shared" ca="1" si="19"/>
        <v>0</v>
      </c>
      <c r="DJ83" s="45">
        <f t="shared" ca="1" si="20"/>
        <v>0</v>
      </c>
    </row>
    <row r="84" spans="1:114" x14ac:dyDescent="0.2">
      <c r="A84" s="175">
        <f>TblRezone[[#This Row],[Hour]]</f>
        <v>81</v>
      </c>
      <c r="B84" s="176">
        <f ca="1">SUM(TblConstr[[#This Row],[Plain]:[Water]])</f>
        <v>60</v>
      </c>
      <c r="C84" s="177">
        <f ca="1">SUM(TblConstr[[#This Row],[Tot Hom]:[Tot Doc]])</f>
        <v>50</v>
      </c>
      <c r="D84" s="177">
        <f t="shared" si="21"/>
        <v>0</v>
      </c>
      <c r="E84" s="178"/>
      <c r="F84" s="61">
        <f ca="1">TblConstr[[#This Row],[Barren]]+TblConstr[[#This Row],[Buildings]]+TblConstr[[#This Row],[Incoming]]</f>
        <v>110</v>
      </c>
      <c r="G84" s="187">
        <f ca="1">OFFSET(TblConstr[[#This Row],[Plain]],-1,0)+TblConstr[[#This Row],[Ch_Plain]]</f>
        <v>60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46105.083333333139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178751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4" s="94">
        <f ca="1">ROUNDDOWN( MAX(1 - MIN(facs_constr_factor*TblConstr[[#This Row],[Facs -DB]],facs_constr_max) + tech_1_11*TblTech[[#This Row],[11-1]] + tech_6_3_2*TblTech[[#This Row],[6-3]] + tech_5_2_3*TblTech[[#This Row],[5-2]], 1-global_constr_cap) * TblConstr[[#This Row],[RCPA Lumber]],0)</f>
        <v>48</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4" s="94">
        <f ca="1">ROUNDDOWN( MAX(1 - MIN(facs_constr_factor*TblConstr[[#This Row],[Facs DB]],facs_constr_max) + tech_1_11*TblTech[[#This Row],[1-11]] + tech_6_3_2*TblTech[[#This Row],[6-3]] + tech_5_2_3*TblTech[[#This Row],[5-2]], 1-global_constr_cap) * ROUND((TblConstr[[#This Row],[Land]]-250)*0.285 + 87.5 + 0/4.25,0),0)</f>
        <v>48</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675</v>
      </c>
      <c r="AW84" s="94">
        <f ca="1">ROUND((TblConstr[[#This Row],[Land]]-250 - IF(TblExplore[[#This Row],[Land Bonus]]&lt;&gt;0,20,0))*0.285 + 87.5 + 0/4.25,0)</f>
        <v>48</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110</v>
      </c>
      <c r="BU84" s="159">
        <f ca="1">TblImps[[#This Row],[Time]]</f>
        <v>46105.083333333139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90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90</v>
      </c>
      <c r="DH84" s="45">
        <f t="shared" ca="1" si="22"/>
        <v>0</v>
      </c>
      <c r="DI84" s="45">
        <f t="shared" ca="1" si="19"/>
        <v>0</v>
      </c>
      <c r="DJ84" s="45">
        <f t="shared" ca="1" si="20"/>
        <v>0</v>
      </c>
    </row>
    <row r="85" spans="1:114" x14ac:dyDescent="0.2">
      <c r="A85" s="175">
        <f>TblRezone[[#This Row],[Hour]]</f>
        <v>82</v>
      </c>
      <c r="B85" s="176">
        <f ca="1">SUM(TblConstr[[#This Row],[Plain]:[Water]])</f>
        <v>60</v>
      </c>
      <c r="C85" s="177">
        <f ca="1">SUM(TblConstr[[#This Row],[Tot Hom]:[Tot Doc]])</f>
        <v>50</v>
      </c>
      <c r="D85" s="177">
        <f t="shared" si="21"/>
        <v>0</v>
      </c>
      <c r="E85" s="178"/>
      <c r="F85" s="61">
        <f ca="1">TblConstr[[#This Row],[Barren]]+TblConstr[[#This Row],[Buildings]]+TblConstr[[#This Row],[Incoming]]</f>
        <v>110</v>
      </c>
      <c r="G85" s="187">
        <f ca="1">OFFSET(TblConstr[[#This Row],[Plain]],-1,0)+TblConstr[[#This Row],[Ch_Plain]]</f>
        <v>60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46105.124999999804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179957</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5" s="94">
        <f ca="1">ROUNDDOWN( MAX(1 - MIN(facs_constr_factor*TblConstr[[#This Row],[Facs -DB]],facs_constr_max) + tech_1_11*TblTech[[#This Row],[11-1]] + tech_6_3_2*TblTech[[#This Row],[6-3]] + tech_5_2_3*TblTech[[#This Row],[5-2]], 1-global_constr_cap) * TblConstr[[#This Row],[RCPA Lumber]],0)</f>
        <v>48</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5" s="94">
        <f ca="1">ROUNDDOWN( MAX(1 - MIN(facs_constr_factor*TblConstr[[#This Row],[Facs DB]],facs_constr_max) + tech_1_11*TblTech[[#This Row],[1-11]] + tech_6_3_2*TblTech[[#This Row],[6-3]] + tech_5_2_3*TblTech[[#This Row],[5-2]], 1-global_constr_cap) * ROUND((TblConstr[[#This Row],[Land]]-250)*0.285 + 87.5 + 0/4.25,0),0)</f>
        <v>48</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675</v>
      </c>
      <c r="AW85" s="94">
        <f ca="1">ROUND((TblConstr[[#This Row],[Land]]-250 - IF(TblExplore[[#This Row],[Land Bonus]]&lt;&gt;0,20,0))*0.285 + 87.5 + 0/4.25,0)</f>
        <v>48</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110</v>
      </c>
      <c r="BU85" s="159">
        <f ca="1">TblImps[[#This Row],[Time]]</f>
        <v>46105.124999999804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90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90</v>
      </c>
      <c r="DH85" s="45">
        <f t="shared" ca="1" si="22"/>
        <v>0</v>
      </c>
      <c r="DI85" s="45">
        <f t="shared" ca="1" si="19"/>
        <v>0</v>
      </c>
      <c r="DJ85" s="45">
        <f t="shared" ca="1" si="20"/>
        <v>0</v>
      </c>
    </row>
    <row r="86" spans="1:114" x14ac:dyDescent="0.2">
      <c r="A86" s="175">
        <f>TblRezone[[#This Row],[Hour]]</f>
        <v>83</v>
      </c>
      <c r="B86" s="176">
        <f ca="1">SUM(TblConstr[[#This Row],[Plain]:[Water]])</f>
        <v>60</v>
      </c>
      <c r="C86" s="177">
        <f ca="1">SUM(TblConstr[[#This Row],[Tot Hom]:[Tot Doc]])</f>
        <v>50</v>
      </c>
      <c r="D86" s="177">
        <f t="shared" si="21"/>
        <v>0</v>
      </c>
      <c r="E86" s="178"/>
      <c r="F86" s="61">
        <f ca="1">TblConstr[[#This Row],[Barren]]+TblConstr[[#This Row],[Buildings]]+TblConstr[[#This Row],[Incoming]]</f>
        <v>110</v>
      </c>
      <c r="G86" s="187">
        <f ca="1">OFFSET(TblConstr[[#This Row],[Plain]],-1,0)+TblConstr[[#This Row],[Ch_Plain]]</f>
        <v>60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46105.166666666468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181153</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6" s="94">
        <f ca="1">ROUNDDOWN( MAX(1 - MIN(facs_constr_factor*TblConstr[[#This Row],[Facs -DB]],facs_constr_max) + tech_1_11*TblTech[[#This Row],[11-1]] + tech_6_3_2*TblTech[[#This Row],[6-3]] + tech_5_2_3*TblTech[[#This Row],[5-2]], 1-global_constr_cap) * TblConstr[[#This Row],[RCPA Lumber]],0)</f>
        <v>48</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6" s="94">
        <f ca="1">ROUNDDOWN( MAX(1 - MIN(facs_constr_factor*TblConstr[[#This Row],[Facs DB]],facs_constr_max) + tech_1_11*TblTech[[#This Row],[1-11]] + tech_6_3_2*TblTech[[#This Row],[6-3]] + tech_5_2_3*TblTech[[#This Row],[5-2]], 1-global_constr_cap) * ROUND((TblConstr[[#This Row],[Land]]-250)*0.285 + 87.5 + 0/4.25,0),0)</f>
        <v>48</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675</v>
      </c>
      <c r="AW86" s="94">
        <f ca="1">ROUND((TblConstr[[#This Row],[Land]]-250 - IF(TblExplore[[#This Row],[Land Bonus]]&lt;&gt;0,20,0))*0.285 + 87.5 + 0/4.25,0)</f>
        <v>48</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110</v>
      </c>
      <c r="BU86" s="159">
        <f ca="1">TblImps[[#This Row],[Time]]</f>
        <v>46105.166666666468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90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90</v>
      </c>
      <c r="DH86" s="45">
        <f t="shared" ca="1" si="22"/>
        <v>0</v>
      </c>
      <c r="DI86" s="45">
        <f t="shared" ca="1" si="19"/>
        <v>0</v>
      </c>
      <c r="DJ86" s="45">
        <f t="shared" ca="1" si="20"/>
        <v>0</v>
      </c>
    </row>
    <row r="87" spans="1:114" x14ac:dyDescent="0.2">
      <c r="A87" s="175">
        <f>TblRezone[[#This Row],[Hour]]</f>
        <v>84</v>
      </c>
      <c r="B87" s="176">
        <f ca="1">SUM(TblConstr[[#This Row],[Plain]:[Water]])</f>
        <v>60</v>
      </c>
      <c r="C87" s="177">
        <f ca="1">SUM(TblConstr[[#This Row],[Tot Hom]:[Tot Doc]])</f>
        <v>50</v>
      </c>
      <c r="D87" s="177">
        <f t="shared" si="21"/>
        <v>0</v>
      </c>
      <c r="E87" s="178"/>
      <c r="F87" s="61">
        <f ca="1">TblConstr[[#This Row],[Barren]]+TblConstr[[#This Row],[Buildings]]+TblConstr[[#This Row],[Incoming]]</f>
        <v>110</v>
      </c>
      <c r="G87" s="187">
        <f ca="1">OFFSET(TblConstr[[#This Row],[Plain]],-1,0)+TblConstr[[#This Row],[Ch_Plain]]</f>
        <v>60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46105.208333333132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182338</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7" s="94">
        <f ca="1">ROUNDDOWN( MAX(1 - MIN(facs_constr_factor*TblConstr[[#This Row],[Facs -DB]],facs_constr_max) + tech_1_11*TblTech[[#This Row],[11-1]] + tech_6_3_2*TblTech[[#This Row],[6-3]] + tech_5_2_3*TblTech[[#This Row],[5-2]], 1-global_constr_cap) * TblConstr[[#This Row],[RCPA Lumber]],0)</f>
        <v>48</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7" s="94">
        <f ca="1">ROUNDDOWN( MAX(1 - MIN(facs_constr_factor*TblConstr[[#This Row],[Facs DB]],facs_constr_max) + tech_1_11*TblTech[[#This Row],[1-11]] + tech_6_3_2*TblTech[[#This Row],[6-3]] + tech_5_2_3*TblTech[[#This Row],[5-2]], 1-global_constr_cap) * ROUND((TblConstr[[#This Row],[Land]]-250)*0.285 + 87.5 + 0/4.25,0),0)</f>
        <v>48</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675</v>
      </c>
      <c r="AW87" s="94">
        <f ca="1">ROUND((TblConstr[[#This Row],[Land]]-250 - IF(TblExplore[[#This Row],[Land Bonus]]&lt;&gt;0,20,0))*0.285 + 87.5 + 0/4.25,0)</f>
        <v>48</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110</v>
      </c>
      <c r="BU87" s="159">
        <f ca="1">TblImps[[#This Row],[Time]]</f>
        <v>46105.208333333132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90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90</v>
      </c>
      <c r="DH87" s="45">
        <f t="shared" ca="1" si="22"/>
        <v>0</v>
      </c>
      <c r="DI87" s="45">
        <f t="shared" ca="1" si="19"/>
        <v>0</v>
      </c>
      <c r="DJ87" s="45">
        <f t="shared" ca="1" si="20"/>
        <v>0</v>
      </c>
    </row>
    <row r="88" spans="1:114" x14ac:dyDescent="0.2">
      <c r="A88" s="175">
        <f>TblRezone[[#This Row],[Hour]]</f>
        <v>85</v>
      </c>
      <c r="B88" s="176">
        <f ca="1">SUM(TblConstr[[#This Row],[Plain]:[Water]])</f>
        <v>60</v>
      </c>
      <c r="C88" s="177">
        <f ca="1">SUM(TblConstr[[#This Row],[Tot Hom]:[Tot Doc]])</f>
        <v>50</v>
      </c>
      <c r="D88" s="177">
        <f t="shared" si="21"/>
        <v>0</v>
      </c>
      <c r="E88" s="178"/>
      <c r="F88" s="61">
        <f ca="1">TblConstr[[#This Row],[Barren]]+TblConstr[[#This Row],[Buildings]]+TblConstr[[#This Row],[Incoming]]</f>
        <v>110</v>
      </c>
      <c r="G88" s="187">
        <f ca="1">OFFSET(TblConstr[[#This Row],[Plain]],-1,0)+TblConstr[[#This Row],[Ch_Plain]]</f>
        <v>60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46105.249999999796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183512</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8" s="94">
        <f ca="1">ROUNDDOWN( MAX(1 - MIN(facs_constr_factor*TblConstr[[#This Row],[Facs -DB]],facs_constr_max) + tech_1_11*TblTech[[#This Row],[11-1]] + tech_6_3_2*TblTech[[#This Row],[6-3]] + tech_5_2_3*TblTech[[#This Row],[5-2]], 1-global_constr_cap) * TblConstr[[#This Row],[RCPA Lumber]],0)</f>
        <v>48</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8" s="94">
        <f ca="1">ROUNDDOWN( MAX(1 - MIN(facs_constr_factor*TblConstr[[#This Row],[Facs DB]],facs_constr_max) + tech_1_11*TblTech[[#This Row],[1-11]] + tech_6_3_2*TblTech[[#This Row],[6-3]] + tech_5_2_3*TblTech[[#This Row],[5-2]], 1-global_constr_cap) * ROUND((TblConstr[[#This Row],[Land]]-250)*0.285 + 87.5 + 0/4.25,0),0)</f>
        <v>48</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675</v>
      </c>
      <c r="AW88" s="94">
        <f ca="1">ROUND((TblConstr[[#This Row],[Land]]-250 - IF(TblExplore[[#This Row],[Land Bonus]]&lt;&gt;0,20,0))*0.285 + 87.5 + 0/4.25,0)</f>
        <v>48</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110</v>
      </c>
      <c r="BU88" s="159">
        <f ca="1">TblImps[[#This Row],[Time]]</f>
        <v>46105.249999999796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90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90</v>
      </c>
      <c r="DH88" s="45">
        <f t="shared" ca="1" si="22"/>
        <v>0</v>
      </c>
      <c r="DI88" s="45">
        <f t="shared" ca="1" si="19"/>
        <v>0</v>
      </c>
      <c r="DJ88" s="45">
        <f t="shared" ca="1" si="20"/>
        <v>0</v>
      </c>
    </row>
    <row r="89" spans="1:114" x14ac:dyDescent="0.2">
      <c r="A89" s="175">
        <f>TblRezone[[#This Row],[Hour]]</f>
        <v>86</v>
      </c>
      <c r="B89" s="176">
        <f ca="1">SUM(TblConstr[[#This Row],[Plain]:[Water]])</f>
        <v>60</v>
      </c>
      <c r="C89" s="177">
        <f ca="1">SUM(TblConstr[[#This Row],[Tot Hom]:[Tot Doc]])</f>
        <v>50</v>
      </c>
      <c r="D89" s="177">
        <f t="shared" si="21"/>
        <v>0</v>
      </c>
      <c r="E89" s="178"/>
      <c r="F89" s="61">
        <f ca="1">TblConstr[[#This Row],[Barren]]+TblConstr[[#This Row],[Buildings]]+TblConstr[[#This Row],[Incoming]]</f>
        <v>110</v>
      </c>
      <c r="G89" s="187">
        <f ca="1">OFFSET(TblConstr[[#This Row],[Plain]],-1,0)+TblConstr[[#This Row],[Ch_Plain]]</f>
        <v>60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46105.291666666461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184675</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9" s="94">
        <f ca="1">ROUNDDOWN( MAX(1 - MIN(facs_constr_factor*TblConstr[[#This Row],[Facs -DB]],facs_constr_max) + tech_1_11*TblTech[[#This Row],[11-1]] + tech_6_3_2*TblTech[[#This Row],[6-3]] + tech_5_2_3*TblTech[[#This Row],[5-2]], 1-global_constr_cap) * TblConstr[[#This Row],[RCPA Lumber]],0)</f>
        <v>48</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9" s="94">
        <f ca="1">ROUNDDOWN( MAX(1 - MIN(facs_constr_factor*TblConstr[[#This Row],[Facs DB]],facs_constr_max) + tech_1_11*TblTech[[#This Row],[1-11]] + tech_6_3_2*TblTech[[#This Row],[6-3]] + tech_5_2_3*TblTech[[#This Row],[5-2]], 1-global_constr_cap) * ROUND((TblConstr[[#This Row],[Land]]-250)*0.285 + 87.5 + 0/4.25,0),0)</f>
        <v>48</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675</v>
      </c>
      <c r="AW89" s="94">
        <f ca="1">ROUND((TblConstr[[#This Row],[Land]]-250 - IF(TblExplore[[#This Row],[Land Bonus]]&lt;&gt;0,20,0))*0.285 + 87.5 + 0/4.25,0)</f>
        <v>48</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110</v>
      </c>
      <c r="BU89" s="159">
        <f ca="1">TblImps[[#This Row],[Time]]</f>
        <v>46105.291666666461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90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90</v>
      </c>
      <c r="DH89" s="45">
        <f t="shared" ca="1" si="22"/>
        <v>0</v>
      </c>
      <c r="DI89" s="45">
        <f t="shared" ca="1" si="19"/>
        <v>0</v>
      </c>
      <c r="DJ89" s="45">
        <f t="shared" ca="1" si="20"/>
        <v>0</v>
      </c>
    </row>
    <row r="90" spans="1:114" x14ac:dyDescent="0.2">
      <c r="A90" s="175">
        <f>TblRezone[[#This Row],[Hour]]</f>
        <v>87</v>
      </c>
      <c r="B90" s="176">
        <f ca="1">SUM(TblConstr[[#This Row],[Plain]:[Water]])</f>
        <v>60</v>
      </c>
      <c r="C90" s="177">
        <f ca="1">SUM(TblConstr[[#This Row],[Tot Hom]:[Tot Doc]])</f>
        <v>50</v>
      </c>
      <c r="D90" s="177">
        <f t="shared" si="21"/>
        <v>0</v>
      </c>
      <c r="E90" s="178"/>
      <c r="F90" s="61">
        <f ca="1">TblConstr[[#This Row],[Barren]]+TblConstr[[#This Row],[Buildings]]+TblConstr[[#This Row],[Incoming]]</f>
        <v>110</v>
      </c>
      <c r="G90" s="187">
        <f ca="1">OFFSET(TblConstr[[#This Row],[Plain]],-1,0)+TblConstr[[#This Row],[Ch_Plain]]</f>
        <v>60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46105.333333333125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185827</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0" s="94">
        <f ca="1">ROUNDDOWN( MAX(1 - MIN(facs_constr_factor*TblConstr[[#This Row],[Facs -DB]],facs_constr_max) + tech_1_11*TblTech[[#This Row],[11-1]] + tech_6_3_2*TblTech[[#This Row],[6-3]] + tech_5_2_3*TblTech[[#This Row],[5-2]], 1-global_constr_cap) * TblConstr[[#This Row],[RCPA Lumber]],0)</f>
        <v>48</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0" s="94">
        <f ca="1">ROUNDDOWN( MAX(1 - MIN(facs_constr_factor*TblConstr[[#This Row],[Facs DB]],facs_constr_max) + tech_1_11*TblTech[[#This Row],[1-11]] + tech_6_3_2*TblTech[[#This Row],[6-3]] + tech_5_2_3*TblTech[[#This Row],[5-2]], 1-global_constr_cap) * ROUND((TblConstr[[#This Row],[Land]]-250)*0.285 + 87.5 + 0/4.25,0),0)</f>
        <v>48</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675</v>
      </c>
      <c r="AW90" s="94">
        <f ca="1">ROUND((TblConstr[[#This Row],[Land]]-250 - IF(TblExplore[[#This Row],[Land Bonus]]&lt;&gt;0,20,0))*0.285 + 87.5 + 0/4.25,0)</f>
        <v>48</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110</v>
      </c>
      <c r="BU90" s="159">
        <f ca="1">TblImps[[#This Row],[Time]]</f>
        <v>46105.333333333125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90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90</v>
      </c>
      <c r="DH90" s="45">
        <f t="shared" ca="1" si="22"/>
        <v>0</v>
      </c>
      <c r="DI90" s="45">
        <f t="shared" ca="1" si="19"/>
        <v>0</v>
      </c>
      <c r="DJ90" s="45">
        <f t="shared" ca="1" si="20"/>
        <v>0</v>
      </c>
    </row>
    <row r="91" spans="1:114" x14ac:dyDescent="0.2">
      <c r="A91" s="175">
        <f>TblRezone[[#This Row],[Hour]]</f>
        <v>88</v>
      </c>
      <c r="B91" s="176">
        <f ca="1">SUM(TblConstr[[#This Row],[Plain]:[Water]])</f>
        <v>60</v>
      </c>
      <c r="C91" s="177">
        <f ca="1">SUM(TblConstr[[#This Row],[Tot Hom]:[Tot Doc]])</f>
        <v>50</v>
      </c>
      <c r="D91" s="177">
        <f t="shared" si="21"/>
        <v>0</v>
      </c>
      <c r="E91" s="178"/>
      <c r="F91" s="61">
        <f ca="1">TblConstr[[#This Row],[Barren]]+TblConstr[[#This Row],[Buildings]]+TblConstr[[#This Row],[Incoming]]</f>
        <v>110</v>
      </c>
      <c r="G91" s="187">
        <f ca="1">OFFSET(TblConstr[[#This Row],[Plain]],-1,0)+TblConstr[[#This Row],[Ch_Plain]]</f>
        <v>60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46105.374999999789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186969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1" s="94">
        <f ca="1">ROUNDDOWN( MAX(1 - MIN(facs_constr_factor*TblConstr[[#This Row],[Facs -DB]],facs_constr_max) + tech_1_11*TblTech[[#This Row],[11-1]] + tech_6_3_2*TblTech[[#This Row],[6-3]] + tech_5_2_3*TblTech[[#This Row],[5-2]], 1-global_constr_cap) * TblConstr[[#This Row],[RCPA Lumber]],0)</f>
        <v>48</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1" s="94">
        <f ca="1">ROUNDDOWN( MAX(1 - MIN(facs_constr_factor*TblConstr[[#This Row],[Facs DB]],facs_constr_max) + tech_1_11*TblTech[[#This Row],[1-11]] + tech_6_3_2*TblTech[[#This Row],[6-3]] + tech_5_2_3*TblTech[[#This Row],[5-2]], 1-global_constr_cap) * ROUND((TblConstr[[#This Row],[Land]]-250)*0.285 + 87.5 + 0/4.25,0),0)</f>
        <v>48</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675</v>
      </c>
      <c r="AW91" s="94">
        <f ca="1">ROUND((TblConstr[[#This Row],[Land]]-250 - IF(TblExplore[[#This Row],[Land Bonus]]&lt;&gt;0,20,0))*0.285 + 87.5 + 0/4.25,0)</f>
        <v>48</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110</v>
      </c>
      <c r="BU91" s="159">
        <f ca="1">TblImps[[#This Row],[Time]]</f>
        <v>46105.374999999789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90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90</v>
      </c>
      <c r="DH91" s="45">
        <f t="shared" ca="1" si="22"/>
        <v>0</v>
      </c>
      <c r="DI91" s="45">
        <f t="shared" ca="1" si="19"/>
        <v>0</v>
      </c>
      <c r="DJ91" s="45">
        <f t="shared" ca="1" si="20"/>
        <v>0</v>
      </c>
    </row>
    <row r="92" spans="1:114" x14ac:dyDescent="0.2">
      <c r="A92" s="175">
        <f>TblRezone[[#This Row],[Hour]]</f>
        <v>89</v>
      </c>
      <c r="B92" s="176">
        <f ca="1">SUM(TblConstr[[#This Row],[Plain]:[Water]])</f>
        <v>60</v>
      </c>
      <c r="C92" s="177">
        <f ca="1">SUM(TblConstr[[#This Row],[Tot Hom]:[Tot Doc]])</f>
        <v>50</v>
      </c>
      <c r="D92" s="177">
        <f t="shared" si="21"/>
        <v>0</v>
      </c>
      <c r="E92" s="178"/>
      <c r="F92" s="61">
        <f ca="1">TblConstr[[#This Row],[Barren]]+TblConstr[[#This Row],[Buildings]]+TblConstr[[#This Row],[Incoming]]</f>
        <v>110</v>
      </c>
      <c r="G92" s="187">
        <f ca="1">OFFSET(TblConstr[[#This Row],[Plain]],-1,0)+TblConstr[[#This Row],[Ch_Plain]]</f>
        <v>60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46105.416666666453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188100</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2" s="94">
        <f ca="1">ROUNDDOWN( MAX(1 - MIN(facs_constr_factor*TblConstr[[#This Row],[Facs -DB]],facs_constr_max) + tech_1_11*TblTech[[#This Row],[11-1]] + tech_6_3_2*TblTech[[#This Row],[6-3]] + tech_5_2_3*TblTech[[#This Row],[5-2]], 1-global_constr_cap) * TblConstr[[#This Row],[RCPA Lumber]],0)</f>
        <v>48</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2" s="94">
        <f ca="1">ROUNDDOWN( MAX(1 - MIN(facs_constr_factor*TblConstr[[#This Row],[Facs DB]],facs_constr_max) + tech_1_11*TblTech[[#This Row],[1-11]] + tech_6_3_2*TblTech[[#This Row],[6-3]] + tech_5_2_3*TblTech[[#This Row],[5-2]], 1-global_constr_cap) * ROUND((TblConstr[[#This Row],[Land]]-250)*0.285 + 87.5 + 0/4.25,0),0)</f>
        <v>48</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675</v>
      </c>
      <c r="AW92" s="94">
        <f ca="1">ROUND((TblConstr[[#This Row],[Land]]-250 - IF(TblExplore[[#This Row],[Land Bonus]]&lt;&gt;0,20,0))*0.285 + 87.5 + 0/4.25,0)</f>
        <v>48</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110</v>
      </c>
      <c r="BU92" s="159">
        <f ca="1">TblImps[[#This Row],[Time]]</f>
        <v>46105.416666666453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90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90</v>
      </c>
      <c r="DH92" s="45">
        <f t="shared" ca="1" si="22"/>
        <v>0</v>
      </c>
      <c r="DI92" s="45">
        <f t="shared" ca="1" si="19"/>
        <v>0</v>
      </c>
      <c r="DJ92" s="45">
        <f t="shared" ca="1" si="20"/>
        <v>0</v>
      </c>
    </row>
    <row r="93" spans="1:114" x14ac:dyDescent="0.2">
      <c r="A93" s="175">
        <f>TblRezone[[#This Row],[Hour]]</f>
        <v>90</v>
      </c>
      <c r="B93" s="176">
        <f ca="1">SUM(TblConstr[[#This Row],[Plain]:[Water]])</f>
        <v>60</v>
      </c>
      <c r="C93" s="177">
        <f ca="1">SUM(TblConstr[[#This Row],[Tot Hom]:[Tot Doc]])</f>
        <v>50</v>
      </c>
      <c r="D93" s="177">
        <f t="shared" si="21"/>
        <v>0</v>
      </c>
      <c r="E93" s="178"/>
      <c r="F93" s="61">
        <f ca="1">TblConstr[[#This Row],[Barren]]+TblConstr[[#This Row],[Buildings]]+TblConstr[[#This Row],[Incoming]]</f>
        <v>110</v>
      </c>
      <c r="G93" s="187">
        <f ca="1">OFFSET(TblConstr[[#This Row],[Plain]],-1,0)+TblConstr[[#This Row],[Ch_Plain]]</f>
        <v>60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46105.458333333117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189220</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3" s="94">
        <f ca="1">ROUNDDOWN( MAX(1 - MIN(facs_constr_factor*TblConstr[[#This Row],[Facs -DB]],facs_constr_max) + tech_1_11*TblTech[[#This Row],[11-1]] + tech_6_3_2*TblTech[[#This Row],[6-3]] + tech_5_2_3*TblTech[[#This Row],[5-2]], 1-global_constr_cap) * TblConstr[[#This Row],[RCPA Lumber]],0)</f>
        <v>48</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3" s="94">
        <f ca="1">ROUNDDOWN( MAX(1 - MIN(facs_constr_factor*TblConstr[[#This Row],[Facs DB]],facs_constr_max) + tech_1_11*TblTech[[#This Row],[1-11]] + tech_6_3_2*TblTech[[#This Row],[6-3]] + tech_5_2_3*TblTech[[#This Row],[5-2]], 1-global_constr_cap) * ROUND((TblConstr[[#This Row],[Land]]-250)*0.285 + 87.5 + 0/4.25,0),0)</f>
        <v>48</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675</v>
      </c>
      <c r="AW93" s="94">
        <f ca="1">ROUND((TblConstr[[#This Row],[Land]]-250 - IF(TblExplore[[#This Row],[Land Bonus]]&lt;&gt;0,20,0))*0.285 + 87.5 + 0/4.25,0)</f>
        <v>48</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110</v>
      </c>
      <c r="BU93" s="159">
        <f ca="1">TblImps[[#This Row],[Time]]</f>
        <v>46105.458333333117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90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90</v>
      </c>
      <c r="DH93" s="45">
        <f t="shared" ca="1" si="22"/>
        <v>0</v>
      </c>
      <c r="DI93" s="45">
        <f t="shared" ca="1" si="19"/>
        <v>0</v>
      </c>
      <c r="DJ93" s="45">
        <f t="shared" ca="1" si="20"/>
        <v>0</v>
      </c>
    </row>
    <row r="94" spans="1:114" x14ac:dyDescent="0.2">
      <c r="A94" s="175">
        <f>TblRezone[[#This Row],[Hour]]</f>
        <v>91</v>
      </c>
      <c r="B94" s="176">
        <f ca="1">SUM(TblConstr[[#This Row],[Plain]:[Water]])</f>
        <v>60</v>
      </c>
      <c r="C94" s="177">
        <f ca="1">SUM(TblConstr[[#This Row],[Tot Hom]:[Tot Doc]])</f>
        <v>50</v>
      </c>
      <c r="D94" s="177">
        <f t="shared" si="21"/>
        <v>0</v>
      </c>
      <c r="E94" s="178"/>
      <c r="F94" s="61">
        <f ca="1">TblConstr[[#This Row],[Barren]]+TblConstr[[#This Row],[Buildings]]+TblConstr[[#This Row],[Incoming]]</f>
        <v>110</v>
      </c>
      <c r="G94" s="187">
        <f ca="1">OFFSET(TblConstr[[#This Row],[Plain]],-1,0)+TblConstr[[#This Row],[Ch_Plain]]</f>
        <v>60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46105.499999999782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190329</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4" s="94">
        <f ca="1">ROUNDDOWN( MAX(1 - MIN(facs_constr_factor*TblConstr[[#This Row],[Facs -DB]],facs_constr_max) + tech_1_11*TblTech[[#This Row],[11-1]] + tech_6_3_2*TblTech[[#This Row],[6-3]] + tech_5_2_3*TblTech[[#This Row],[5-2]], 1-global_constr_cap) * TblConstr[[#This Row],[RCPA Lumber]],0)</f>
        <v>48</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4" s="94">
        <f ca="1">ROUNDDOWN( MAX(1 - MIN(facs_constr_factor*TblConstr[[#This Row],[Facs DB]],facs_constr_max) + tech_1_11*TblTech[[#This Row],[1-11]] + tech_6_3_2*TblTech[[#This Row],[6-3]] + tech_5_2_3*TblTech[[#This Row],[5-2]], 1-global_constr_cap) * ROUND((TblConstr[[#This Row],[Land]]-250)*0.285 + 87.5 + 0/4.25,0),0)</f>
        <v>48</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675</v>
      </c>
      <c r="AW94" s="94">
        <f ca="1">ROUND((TblConstr[[#This Row],[Land]]-250 - IF(TblExplore[[#This Row],[Land Bonus]]&lt;&gt;0,20,0))*0.285 + 87.5 + 0/4.25,0)</f>
        <v>48</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110</v>
      </c>
      <c r="BU94" s="159">
        <f ca="1">TblImps[[#This Row],[Time]]</f>
        <v>46105.499999999782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90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90</v>
      </c>
      <c r="DH94" s="45">
        <f t="shared" ca="1" si="22"/>
        <v>0</v>
      </c>
      <c r="DI94" s="45">
        <f t="shared" ca="1" si="19"/>
        <v>0</v>
      </c>
      <c r="DJ94" s="45">
        <f t="shared" ca="1" si="20"/>
        <v>0</v>
      </c>
    </row>
    <row r="95" spans="1:114" x14ac:dyDescent="0.2">
      <c r="A95" s="175">
        <f>TblRezone[[#This Row],[Hour]]</f>
        <v>92</v>
      </c>
      <c r="B95" s="176">
        <f ca="1">SUM(TblConstr[[#This Row],[Plain]:[Water]])</f>
        <v>60</v>
      </c>
      <c r="C95" s="177">
        <f ca="1">SUM(TblConstr[[#This Row],[Tot Hom]:[Tot Doc]])</f>
        <v>50</v>
      </c>
      <c r="D95" s="177">
        <f t="shared" si="21"/>
        <v>0</v>
      </c>
      <c r="E95" s="178"/>
      <c r="F95" s="61">
        <f ca="1">TblConstr[[#This Row],[Barren]]+TblConstr[[#This Row],[Buildings]]+TblConstr[[#This Row],[Incoming]]</f>
        <v>110</v>
      </c>
      <c r="G95" s="187">
        <f ca="1">OFFSET(TblConstr[[#This Row],[Plain]],-1,0)+TblConstr[[#This Row],[Ch_Plain]]</f>
        <v>60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46105.541666666446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191427</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5" s="94">
        <f ca="1">ROUNDDOWN( MAX(1 - MIN(facs_constr_factor*TblConstr[[#This Row],[Facs -DB]],facs_constr_max) + tech_1_11*TblTech[[#This Row],[11-1]] + tech_6_3_2*TblTech[[#This Row],[6-3]] + tech_5_2_3*TblTech[[#This Row],[5-2]], 1-global_constr_cap) * TblConstr[[#This Row],[RCPA Lumber]],0)</f>
        <v>48</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5" s="94">
        <f ca="1">ROUNDDOWN( MAX(1 - MIN(facs_constr_factor*TblConstr[[#This Row],[Facs DB]],facs_constr_max) + tech_1_11*TblTech[[#This Row],[1-11]] + tech_6_3_2*TblTech[[#This Row],[6-3]] + tech_5_2_3*TblTech[[#This Row],[5-2]], 1-global_constr_cap) * ROUND((TblConstr[[#This Row],[Land]]-250)*0.285 + 87.5 + 0/4.25,0),0)</f>
        <v>48</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675</v>
      </c>
      <c r="AW95" s="94">
        <f ca="1">ROUND((TblConstr[[#This Row],[Land]]-250 - IF(TblExplore[[#This Row],[Land Bonus]]&lt;&gt;0,20,0))*0.285 + 87.5 + 0/4.25,0)</f>
        <v>48</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110</v>
      </c>
      <c r="BU95" s="159">
        <f ca="1">TblImps[[#This Row],[Time]]</f>
        <v>46105.541666666446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90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90</v>
      </c>
      <c r="DH95" s="45">
        <f t="shared" ca="1" si="22"/>
        <v>0</v>
      </c>
      <c r="DI95" s="45">
        <f t="shared" ca="1" si="19"/>
        <v>0</v>
      </c>
      <c r="DJ95" s="45">
        <f t="shared" ca="1" si="20"/>
        <v>0</v>
      </c>
    </row>
    <row r="96" spans="1:114" x14ac:dyDescent="0.2">
      <c r="A96" s="175">
        <f>TblRezone[[#This Row],[Hour]]</f>
        <v>93</v>
      </c>
      <c r="B96" s="176">
        <f ca="1">SUM(TblConstr[[#This Row],[Plain]:[Water]])</f>
        <v>60</v>
      </c>
      <c r="C96" s="177">
        <f ca="1">SUM(TblConstr[[#This Row],[Tot Hom]:[Tot Doc]])</f>
        <v>50</v>
      </c>
      <c r="D96" s="177">
        <f t="shared" si="21"/>
        <v>0</v>
      </c>
      <c r="E96" s="178"/>
      <c r="F96" s="61">
        <f ca="1">TblConstr[[#This Row],[Barren]]+TblConstr[[#This Row],[Buildings]]+TblConstr[[#This Row],[Incoming]]</f>
        <v>110</v>
      </c>
      <c r="G96" s="187">
        <f ca="1">OFFSET(TblConstr[[#This Row],[Plain]],-1,0)+TblConstr[[#This Row],[Ch_Plain]]</f>
        <v>60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46105.58333333311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192515</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6" s="94">
        <f ca="1">ROUNDDOWN( MAX(1 - MIN(facs_constr_factor*TblConstr[[#This Row],[Facs -DB]],facs_constr_max) + tech_1_11*TblTech[[#This Row],[11-1]] + tech_6_3_2*TblTech[[#This Row],[6-3]] + tech_5_2_3*TblTech[[#This Row],[5-2]], 1-global_constr_cap) * TblConstr[[#This Row],[RCPA Lumber]],0)</f>
        <v>48</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6" s="94">
        <f ca="1">ROUNDDOWN( MAX(1 - MIN(facs_constr_factor*TblConstr[[#This Row],[Facs DB]],facs_constr_max) + tech_1_11*TblTech[[#This Row],[1-11]] + tech_6_3_2*TblTech[[#This Row],[6-3]] + tech_5_2_3*TblTech[[#This Row],[5-2]], 1-global_constr_cap) * ROUND((TblConstr[[#This Row],[Land]]-250)*0.285 + 87.5 + 0/4.25,0),0)</f>
        <v>48</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675</v>
      </c>
      <c r="AW96" s="94">
        <f ca="1">ROUND((TblConstr[[#This Row],[Land]]-250 - IF(TblExplore[[#This Row],[Land Bonus]]&lt;&gt;0,20,0))*0.285 + 87.5 + 0/4.25,0)</f>
        <v>48</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110</v>
      </c>
      <c r="BU96" s="159">
        <f ca="1">TblImps[[#This Row],[Time]]</f>
        <v>46105.58333333311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90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90</v>
      </c>
      <c r="DH96" s="45">
        <f t="shared" ca="1" si="22"/>
        <v>0</v>
      </c>
      <c r="DI96" s="45">
        <f t="shared" ca="1" si="19"/>
        <v>0</v>
      </c>
      <c r="DJ96" s="45">
        <f t="shared" ca="1" si="20"/>
        <v>0</v>
      </c>
    </row>
    <row r="97" spans="1:114" x14ac:dyDescent="0.2">
      <c r="A97" s="175">
        <f>TblRezone[[#This Row],[Hour]]</f>
        <v>94</v>
      </c>
      <c r="B97" s="176">
        <f ca="1">SUM(TblConstr[[#This Row],[Plain]:[Water]])</f>
        <v>60</v>
      </c>
      <c r="C97" s="177">
        <f ca="1">SUM(TblConstr[[#This Row],[Tot Hom]:[Tot Doc]])</f>
        <v>50</v>
      </c>
      <c r="D97" s="177">
        <f t="shared" si="21"/>
        <v>0</v>
      </c>
      <c r="E97" s="178"/>
      <c r="F97" s="61">
        <f ca="1">TblConstr[[#This Row],[Barren]]+TblConstr[[#This Row],[Buildings]]+TblConstr[[#This Row],[Incoming]]</f>
        <v>110</v>
      </c>
      <c r="G97" s="187">
        <f ca="1">OFFSET(TblConstr[[#This Row],[Plain]],-1,0)+TblConstr[[#This Row],[Ch_Plain]]</f>
        <v>60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46105.624999999774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193592</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7" s="94">
        <f ca="1">ROUNDDOWN( MAX(1 - MIN(facs_constr_factor*TblConstr[[#This Row],[Facs -DB]],facs_constr_max) + tech_1_11*TblTech[[#This Row],[11-1]] + tech_6_3_2*TblTech[[#This Row],[6-3]] + tech_5_2_3*TblTech[[#This Row],[5-2]], 1-global_constr_cap) * TblConstr[[#This Row],[RCPA Lumber]],0)</f>
        <v>48</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7" s="94">
        <f ca="1">ROUNDDOWN( MAX(1 - MIN(facs_constr_factor*TblConstr[[#This Row],[Facs DB]],facs_constr_max) + tech_1_11*TblTech[[#This Row],[1-11]] + tech_6_3_2*TblTech[[#This Row],[6-3]] + tech_5_2_3*TblTech[[#This Row],[5-2]], 1-global_constr_cap) * ROUND((TblConstr[[#This Row],[Land]]-250)*0.285 + 87.5 + 0/4.25,0),0)</f>
        <v>48</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675</v>
      </c>
      <c r="AW97" s="94">
        <f ca="1">ROUND((TblConstr[[#This Row],[Land]]-250 - IF(TblExplore[[#This Row],[Land Bonus]]&lt;&gt;0,20,0))*0.285 + 87.5 + 0/4.25,0)</f>
        <v>48</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110</v>
      </c>
      <c r="BU97" s="159">
        <f ca="1">TblImps[[#This Row],[Time]]</f>
        <v>46105.624999999774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90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90</v>
      </c>
      <c r="DH97" s="45">
        <f t="shared" ca="1" si="22"/>
        <v>0</v>
      </c>
      <c r="DI97" s="45">
        <f t="shared" ca="1" si="19"/>
        <v>0</v>
      </c>
      <c r="DJ97" s="45">
        <f t="shared" ca="1" si="20"/>
        <v>0</v>
      </c>
    </row>
    <row r="98" spans="1:114" x14ac:dyDescent="0.2">
      <c r="A98" s="175">
        <f>TblRezone[[#This Row],[Hour]]</f>
        <v>95</v>
      </c>
      <c r="B98" s="176">
        <f ca="1">SUM(TblConstr[[#This Row],[Plain]:[Water]])</f>
        <v>60</v>
      </c>
      <c r="C98" s="177">
        <f ca="1">SUM(TblConstr[[#This Row],[Tot Hom]:[Tot Doc]])</f>
        <v>50</v>
      </c>
      <c r="D98" s="177">
        <f t="shared" si="21"/>
        <v>0</v>
      </c>
      <c r="E98" s="178"/>
      <c r="F98" s="61">
        <f ca="1">TblConstr[[#This Row],[Barren]]+TblConstr[[#This Row],[Buildings]]+TblConstr[[#This Row],[Incoming]]</f>
        <v>110</v>
      </c>
      <c r="G98" s="187">
        <f ca="1">OFFSET(TblConstr[[#This Row],[Plain]],-1,0)+TblConstr[[#This Row],[Ch_Plain]]</f>
        <v>60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46105.666666666439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194658</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8" s="94">
        <f ca="1">ROUNDDOWN( MAX(1 - MIN(facs_constr_factor*TblConstr[[#This Row],[Facs -DB]],facs_constr_max) + tech_1_11*TblTech[[#This Row],[11-1]] + tech_6_3_2*TblTech[[#This Row],[6-3]] + tech_5_2_3*TblTech[[#This Row],[5-2]], 1-global_constr_cap) * TblConstr[[#This Row],[RCPA Lumber]],0)</f>
        <v>48</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8" s="94">
        <f ca="1">ROUNDDOWN( MAX(1 - MIN(facs_constr_factor*TblConstr[[#This Row],[Facs DB]],facs_constr_max) + tech_1_11*TblTech[[#This Row],[1-11]] + tech_6_3_2*TblTech[[#This Row],[6-3]] + tech_5_2_3*TblTech[[#This Row],[5-2]], 1-global_constr_cap) * ROUND((TblConstr[[#This Row],[Land]]-250)*0.285 + 87.5 + 0/4.25,0),0)</f>
        <v>48</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675</v>
      </c>
      <c r="AW98" s="94">
        <f ca="1">ROUND((TblConstr[[#This Row],[Land]]-250 - IF(TblExplore[[#This Row],[Land Bonus]]&lt;&gt;0,20,0))*0.285 + 87.5 + 0/4.25,0)</f>
        <v>48</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110</v>
      </c>
      <c r="BU98" s="159">
        <f ca="1">TblImps[[#This Row],[Time]]</f>
        <v>46105.666666666439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90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90</v>
      </c>
      <c r="DH98" s="45">
        <f t="shared" ca="1" si="22"/>
        <v>0</v>
      </c>
      <c r="DI98" s="45">
        <f t="shared" ca="1" si="19"/>
        <v>0</v>
      </c>
      <c r="DJ98" s="45">
        <f t="shared" ca="1" si="20"/>
        <v>0</v>
      </c>
    </row>
    <row r="99" spans="1:114" x14ac:dyDescent="0.2">
      <c r="A99" s="175">
        <f>TblRezone[[#This Row],[Hour]]</f>
        <v>96</v>
      </c>
      <c r="B99" s="176">
        <f ca="1">SUM(TblConstr[[#This Row],[Plain]:[Water]])</f>
        <v>60</v>
      </c>
      <c r="C99" s="177">
        <f ca="1">SUM(TblConstr[[#This Row],[Tot Hom]:[Tot Doc]])</f>
        <v>50</v>
      </c>
      <c r="D99" s="177">
        <f t="shared" si="21"/>
        <v>0</v>
      </c>
      <c r="E99" s="178"/>
      <c r="F99" s="61">
        <f ca="1">TblConstr[[#This Row],[Barren]]+TblConstr[[#This Row],[Buildings]]+TblConstr[[#This Row],[Incoming]]</f>
        <v>110</v>
      </c>
      <c r="G99" s="187">
        <f ca="1">OFFSET(TblConstr[[#This Row],[Plain]],-1,0)+TblConstr[[#This Row],[Ch_Plain]]</f>
        <v>60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46105.708333333103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195713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9" s="94">
        <f ca="1">ROUNDDOWN( MAX(1 - MIN(facs_constr_factor*TblConstr[[#This Row],[Facs -DB]],facs_constr_max) + tech_1_11*TblTech[[#This Row],[11-1]] + tech_6_3_2*TblTech[[#This Row],[6-3]] + tech_5_2_3*TblTech[[#This Row],[5-2]], 1-global_constr_cap) * TblConstr[[#This Row],[RCPA Lumber]],0)</f>
        <v>48</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9" s="94">
        <f ca="1">ROUNDDOWN( MAX(1 - MIN(facs_constr_factor*TblConstr[[#This Row],[Facs DB]],facs_constr_max) + tech_1_11*TblTech[[#This Row],[1-11]] + tech_6_3_2*TblTech[[#This Row],[6-3]] + tech_5_2_3*TblTech[[#This Row],[5-2]], 1-global_constr_cap) * ROUND((TblConstr[[#This Row],[Land]]-250)*0.285 + 87.5 + 0/4.25,0),0)</f>
        <v>48</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675</v>
      </c>
      <c r="AW99" s="94">
        <f ca="1">ROUND((TblConstr[[#This Row],[Land]]-250 - IF(TblExplore[[#This Row],[Land Bonus]]&lt;&gt;0,20,0))*0.285 + 87.5 + 0/4.25,0)</f>
        <v>48</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110</v>
      </c>
      <c r="BU99" s="159">
        <f ca="1">TblImps[[#This Row],[Time]]</f>
        <v>46105.708333333103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90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90</v>
      </c>
      <c r="DH99" s="45">
        <f t="shared" ca="1" si="22"/>
        <v>0</v>
      </c>
      <c r="DI99" s="45">
        <f t="shared" ca="1" si="19"/>
        <v>0</v>
      </c>
      <c r="DJ99" s="45">
        <f t="shared" ca="1" si="20"/>
        <v>0</v>
      </c>
    </row>
    <row r="100" spans="1:114" x14ac:dyDescent="0.2">
      <c r="A100" s="175">
        <f>TblRezone[[#This Row],[Hour]]</f>
        <v>97</v>
      </c>
      <c r="B100" s="176">
        <f ca="1">SUM(TblConstr[[#This Row],[Plain]:[Water]])</f>
        <v>60</v>
      </c>
      <c r="C100" s="177">
        <f ca="1">SUM(TblConstr[[#This Row],[Tot Hom]:[Tot Doc]])</f>
        <v>50</v>
      </c>
      <c r="D100" s="177">
        <f t="shared" si="21"/>
        <v>0</v>
      </c>
      <c r="E100" s="178"/>
      <c r="F100" s="61">
        <f ca="1">TblConstr[[#This Row],[Barren]]+TblConstr[[#This Row],[Buildings]]+TblConstr[[#This Row],[Incoming]]</f>
        <v>110</v>
      </c>
      <c r="G100" s="187">
        <f ca="1">OFFSET(TblConstr[[#This Row],[Plain]],-1,0)+TblConstr[[#This Row],[Ch_Plain]]</f>
        <v>60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46105.749999999767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196757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0" s="94">
        <f ca="1">ROUNDDOWN( MAX(1 - MIN(facs_constr_factor*TblConstr[[#This Row],[Facs -DB]],facs_constr_max) + tech_1_11*TblTech[[#This Row],[11-1]] + tech_6_3_2*TblTech[[#This Row],[6-3]] + tech_5_2_3*TblTech[[#This Row],[5-2]], 1-global_constr_cap) * TblConstr[[#This Row],[RCPA Lumber]],0)</f>
        <v>48</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0" s="94">
        <f ca="1">ROUNDDOWN( MAX(1 - MIN(facs_constr_factor*TblConstr[[#This Row],[Facs DB]],facs_constr_max) + tech_1_11*TblTech[[#This Row],[1-11]] + tech_6_3_2*TblTech[[#This Row],[6-3]] + tech_5_2_3*TblTech[[#This Row],[5-2]], 1-global_constr_cap) * ROUND((TblConstr[[#This Row],[Land]]-250)*0.285 + 87.5 + 0/4.25,0),0)</f>
        <v>48</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675</v>
      </c>
      <c r="AW100" s="94">
        <f ca="1">ROUND((TblConstr[[#This Row],[Land]]-250 - IF(TblExplore[[#This Row],[Land Bonus]]&lt;&gt;0,20,0))*0.285 + 87.5 + 0/4.25,0)</f>
        <v>48</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110</v>
      </c>
      <c r="BU100" s="159">
        <f ca="1">TblImps[[#This Row],[Time]]</f>
        <v>46105.749999999767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90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90</v>
      </c>
      <c r="DH100" s="45">
        <f t="shared" ca="1" si="22"/>
        <v>0</v>
      </c>
      <c r="DI100" s="45">
        <f t="shared" ca="1" si="19"/>
        <v>0</v>
      </c>
      <c r="DJ100" s="45">
        <f t="shared" ca="1" si="20"/>
        <v>0</v>
      </c>
    </row>
    <row r="101" spans="1:114" x14ac:dyDescent="0.2">
      <c r="A101" s="175">
        <f>TblRezone[[#This Row],[Hour]]</f>
        <v>98</v>
      </c>
      <c r="B101" s="176">
        <f ca="1">SUM(TblConstr[[#This Row],[Plain]:[Water]])</f>
        <v>60</v>
      </c>
      <c r="C101" s="177">
        <f ca="1">SUM(TblConstr[[#This Row],[Tot Hom]:[Tot Doc]])</f>
        <v>50</v>
      </c>
      <c r="D101" s="177">
        <f t="shared" si="21"/>
        <v>0</v>
      </c>
      <c r="E101" s="178"/>
      <c r="F101" s="61">
        <f ca="1">TblConstr[[#This Row],[Barren]]+TblConstr[[#This Row],[Buildings]]+TblConstr[[#This Row],[Incoming]]</f>
        <v>110</v>
      </c>
      <c r="G101" s="187">
        <f ca="1">OFFSET(TblConstr[[#This Row],[Plain]],-1,0)+TblConstr[[#This Row],[Ch_Plain]]</f>
        <v>60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46105.791666666431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197791</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1" s="94">
        <f ca="1">ROUNDDOWN( MAX(1 - MIN(facs_constr_factor*TblConstr[[#This Row],[Facs -DB]],facs_constr_max) + tech_1_11*TblTech[[#This Row],[11-1]] + tech_6_3_2*TblTech[[#This Row],[6-3]] + tech_5_2_3*TblTech[[#This Row],[5-2]], 1-global_constr_cap) * TblConstr[[#This Row],[RCPA Lumber]],0)</f>
        <v>48</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1" s="94">
        <f ca="1">ROUNDDOWN( MAX(1 - MIN(facs_constr_factor*TblConstr[[#This Row],[Facs DB]],facs_constr_max) + tech_1_11*TblTech[[#This Row],[1-11]] + tech_6_3_2*TblTech[[#This Row],[6-3]] + tech_5_2_3*TblTech[[#This Row],[5-2]], 1-global_constr_cap) * ROUND((TblConstr[[#This Row],[Land]]-250)*0.285 + 87.5 + 0/4.25,0),0)</f>
        <v>48</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675</v>
      </c>
      <c r="AW101" s="94">
        <f ca="1">ROUND((TblConstr[[#This Row],[Land]]-250 - IF(TblExplore[[#This Row],[Land Bonus]]&lt;&gt;0,20,0))*0.285 + 87.5 + 0/4.25,0)</f>
        <v>48</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110</v>
      </c>
      <c r="BU101" s="159">
        <f ca="1">TblImps[[#This Row],[Time]]</f>
        <v>46105.791666666431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90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90</v>
      </c>
      <c r="DH101" s="45">
        <f t="shared" ca="1" si="22"/>
        <v>0</v>
      </c>
      <c r="DI101" s="45">
        <f t="shared" ca="1" si="19"/>
        <v>0</v>
      </c>
      <c r="DJ101" s="45">
        <f t="shared" ca="1" si="20"/>
        <v>0</v>
      </c>
    </row>
    <row r="102" spans="1:114" x14ac:dyDescent="0.2">
      <c r="A102" s="175">
        <f>TblRezone[[#This Row],[Hour]]</f>
        <v>99</v>
      </c>
      <c r="B102" s="176">
        <f ca="1">SUM(TblConstr[[#This Row],[Plain]:[Water]])</f>
        <v>60</v>
      </c>
      <c r="C102" s="177">
        <f ca="1">SUM(TblConstr[[#This Row],[Tot Hom]:[Tot Doc]])</f>
        <v>50</v>
      </c>
      <c r="D102" s="177">
        <f t="shared" si="21"/>
        <v>0</v>
      </c>
      <c r="E102" s="178"/>
      <c r="F102" s="61">
        <f ca="1">TblConstr[[#This Row],[Barren]]+TblConstr[[#This Row],[Buildings]]+TblConstr[[#This Row],[Incoming]]</f>
        <v>110</v>
      </c>
      <c r="G102" s="187">
        <f ca="1">OFFSET(TblConstr[[#This Row],[Plain]],-1,0)+TblConstr[[#This Row],[Ch_Plain]]</f>
        <v>60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46105.833333333096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198814</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2" s="94">
        <f ca="1">ROUNDDOWN( MAX(1 - MIN(facs_constr_factor*TblConstr[[#This Row],[Facs -DB]],facs_constr_max) + tech_1_11*TblTech[[#This Row],[11-1]] + tech_6_3_2*TblTech[[#This Row],[6-3]] + tech_5_2_3*TblTech[[#This Row],[5-2]], 1-global_constr_cap) * TblConstr[[#This Row],[RCPA Lumber]],0)</f>
        <v>48</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2" s="94">
        <f ca="1">ROUNDDOWN( MAX(1 - MIN(facs_constr_factor*TblConstr[[#This Row],[Facs DB]],facs_constr_max) + tech_1_11*TblTech[[#This Row],[1-11]] + tech_6_3_2*TblTech[[#This Row],[6-3]] + tech_5_2_3*TblTech[[#This Row],[5-2]], 1-global_constr_cap) * ROUND((TblConstr[[#This Row],[Land]]-250)*0.285 + 87.5 + 0/4.25,0),0)</f>
        <v>48</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675</v>
      </c>
      <c r="AW102" s="94">
        <f ca="1">ROUND((TblConstr[[#This Row],[Land]]-250 - IF(TblExplore[[#This Row],[Land Bonus]]&lt;&gt;0,20,0))*0.285 + 87.5 + 0/4.25,0)</f>
        <v>48</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110</v>
      </c>
      <c r="BU102" s="159">
        <f ca="1">TblImps[[#This Row],[Time]]</f>
        <v>46105.833333333096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90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90</v>
      </c>
      <c r="DH102" s="45">
        <f t="shared" ca="1" si="22"/>
        <v>0</v>
      </c>
      <c r="DI102" s="45">
        <f t="shared" ca="1" si="19"/>
        <v>0</v>
      </c>
      <c r="DJ102" s="45">
        <f t="shared" ca="1" si="20"/>
        <v>0</v>
      </c>
    </row>
    <row r="103" spans="1:114" x14ac:dyDescent="0.2">
      <c r="A103" s="175">
        <f>TblRezone[[#This Row],[Hour]]</f>
        <v>100</v>
      </c>
      <c r="B103" s="176">
        <f ca="1">SUM(TblConstr[[#This Row],[Plain]:[Water]])</f>
        <v>60</v>
      </c>
      <c r="C103" s="177">
        <f ca="1">SUM(TblConstr[[#This Row],[Tot Hom]:[Tot Doc]])</f>
        <v>50</v>
      </c>
      <c r="D103" s="177">
        <f t="shared" si="21"/>
        <v>0</v>
      </c>
      <c r="E103" s="178"/>
      <c r="F103" s="61">
        <f ca="1">TblConstr[[#This Row],[Barren]]+TblConstr[[#This Row],[Buildings]]+TblConstr[[#This Row],[Incoming]]</f>
        <v>110</v>
      </c>
      <c r="G103" s="187">
        <f ca="1">OFFSET(TblConstr[[#This Row],[Plain]],-1,0)+TblConstr[[#This Row],[Ch_Plain]]</f>
        <v>60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46105.87499999976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199826</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3" s="94">
        <f ca="1">ROUNDDOWN( MAX(1 - MIN(facs_constr_factor*TblConstr[[#This Row],[Facs -DB]],facs_constr_max) + tech_1_11*TblTech[[#This Row],[11-1]] + tech_6_3_2*TblTech[[#This Row],[6-3]] + tech_5_2_3*TblTech[[#This Row],[5-2]], 1-global_constr_cap) * TblConstr[[#This Row],[RCPA Lumber]],0)</f>
        <v>48</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3" s="94">
        <f ca="1">ROUNDDOWN( MAX(1 - MIN(facs_constr_factor*TblConstr[[#This Row],[Facs DB]],facs_constr_max) + tech_1_11*TblTech[[#This Row],[1-11]] + tech_6_3_2*TblTech[[#This Row],[6-3]] + tech_5_2_3*TblTech[[#This Row],[5-2]], 1-global_constr_cap) * ROUND((TblConstr[[#This Row],[Land]]-250)*0.285 + 87.5 + 0/4.25,0),0)</f>
        <v>48</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675</v>
      </c>
      <c r="AW103" s="94">
        <f ca="1">ROUND((TblConstr[[#This Row],[Land]]-250 - IF(TblExplore[[#This Row],[Land Bonus]]&lt;&gt;0,20,0))*0.285 + 87.5 + 0/4.25,0)</f>
        <v>48</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110</v>
      </c>
      <c r="BU103" s="159">
        <f ca="1">TblImps[[#This Row],[Time]]</f>
        <v>46105.87499999976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90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90</v>
      </c>
      <c r="DH103" s="45">
        <f t="shared" ca="1" si="22"/>
        <v>0</v>
      </c>
      <c r="DI103" s="45">
        <f t="shared" ca="1" si="19"/>
        <v>0</v>
      </c>
      <c r="DJ103" s="45">
        <f t="shared" ca="1" si="20"/>
        <v>0</v>
      </c>
    </row>
    <row r="104" spans="1:114" x14ac:dyDescent="0.2">
      <c r="A104" s="175">
        <f>TblRezone[[#This Row],[Hour]]</f>
        <v>101</v>
      </c>
      <c r="B104" s="176">
        <f ca="1">SUM(TblConstr[[#This Row],[Plain]:[Water]])</f>
        <v>60</v>
      </c>
      <c r="C104" s="177">
        <f ca="1">SUM(TblConstr[[#This Row],[Tot Hom]:[Tot Doc]])</f>
        <v>50</v>
      </c>
      <c r="D104" s="177">
        <f t="shared" si="21"/>
        <v>0</v>
      </c>
      <c r="E104" s="178"/>
      <c r="F104" s="61">
        <f ca="1">TblConstr[[#This Row],[Barren]]+TblConstr[[#This Row],[Buildings]]+TblConstr[[#This Row],[Incoming]]</f>
        <v>110</v>
      </c>
      <c r="G104" s="187">
        <f ca="1">OFFSET(TblConstr[[#This Row],[Plain]],-1,0)+TblConstr[[#This Row],[Ch_Plain]]</f>
        <v>60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46105.916666666424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200827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4" s="94">
        <f ca="1">ROUNDDOWN( MAX(1 - MIN(facs_constr_factor*TblConstr[[#This Row],[Facs -DB]],facs_constr_max) + tech_1_11*TblTech[[#This Row],[11-1]] + tech_6_3_2*TblTech[[#This Row],[6-3]] + tech_5_2_3*TblTech[[#This Row],[5-2]], 1-global_constr_cap) * TblConstr[[#This Row],[RCPA Lumber]],0)</f>
        <v>48</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4" s="94">
        <f ca="1">ROUNDDOWN( MAX(1 - MIN(facs_constr_factor*TblConstr[[#This Row],[Facs DB]],facs_constr_max) + tech_1_11*TblTech[[#This Row],[1-11]] + tech_6_3_2*TblTech[[#This Row],[6-3]] + tech_5_2_3*TblTech[[#This Row],[5-2]], 1-global_constr_cap) * ROUND((TblConstr[[#This Row],[Land]]-250)*0.285 + 87.5 + 0/4.25,0),0)</f>
        <v>48</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675</v>
      </c>
      <c r="AW104" s="94">
        <f ca="1">ROUND((TblConstr[[#This Row],[Land]]-250 - IF(TblExplore[[#This Row],[Land Bonus]]&lt;&gt;0,20,0))*0.285 + 87.5 + 0/4.25,0)</f>
        <v>48</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110</v>
      </c>
      <c r="BU104" s="159">
        <f ca="1">TblImps[[#This Row],[Time]]</f>
        <v>46105.916666666424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90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90</v>
      </c>
      <c r="DH104" s="45">
        <f t="shared" ca="1" si="22"/>
        <v>0</v>
      </c>
      <c r="DI104" s="45">
        <f t="shared" ca="1" si="19"/>
        <v>0</v>
      </c>
      <c r="DJ104" s="45">
        <f t="shared" ca="1" si="20"/>
        <v>0</v>
      </c>
    </row>
    <row r="105" spans="1:114" x14ac:dyDescent="0.2">
      <c r="A105" s="175">
        <f>TblRezone[[#This Row],[Hour]]</f>
        <v>102</v>
      </c>
      <c r="B105" s="176">
        <f ca="1">SUM(TblConstr[[#This Row],[Plain]:[Water]])</f>
        <v>60</v>
      </c>
      <c r="C105" s="177">
        <f ca="1">SUM(TblConstr[[#This Row],[Tot Hom]:[Tot Doc]])</f>
        <v>50</v>
      </c>
      <c r="D105" s="177">
        <f t="shared" si="21"/>
        <v>0</v>
      </c>
      <c r="E105" s="178"/>
      <c r="F105" s="61">
        <f ca="1">TblConstr[[#This Row],[Barren]]+TblConstr[[#This Row],[Buildings]]+TblConstr[[#This Row],[Incoming]]</f>
        <v>110</v>
      </c>
      <c r="G105" s="187">
        <f ca="1">OFFSET(TblConstr[[#This Row],[Plain]],-1,0)+TblConstr[[#This Row],[Ch_Plain]]</f>
        <v>60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46105.958333333088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201817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5" s="94">
        <f ca="1">ROUNDDOWN( MAX(1 - MIN(facs_constr_factor*TblConstr[[#This Row],[Facs -DB]],facs_constr_max) + tech_1_11*TblTech[[#This Row],[11-1]] + tech_6_3_2*TblTech[[#This Row],[6-3]] + tech_5_2_3*TblTech[[#This Row],[5-2]], 1-global_constr_cap) * TblConstr[[#This Row],[RCPA Lumber]],0)</f>
        <v>48</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5" s="94">
        <f ca="1">ROUNDDOWN( MAX(1 - MIN(facs_constr_factor*TblConstr[[#This Row],[Facs DB]],facs_constr_max) + tech_1_11*TblTech[[#This Row],[1-11]] + tech_6_3_2*TblTech[[#This Row],[6-3]] + tech_5_2_3*TblTech[[#This Row],[5-2]], 1-global_constr_cap) * ROUND((TblConstr[[#This Row],[Land]]-250)*0.285 + 87.5 + 0/4.25,0),0)</f>
        <v>48</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675</v>
      </c>
      <c r="AW105" s="94">
        <f ca="1">ROUND((TblConstr[[#This Row],[Land]]-250 - IF(TblExplore[[#This Row],[Land Bonus]]&lt;&gt;0,20,0))*0.285 + 87.5 + 0/4.25,0)</f>
        <v>48</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110</v>
      </c>
      <c r="BU105" s="159">
        <f ca="1">TblImps[[#This Row],[Time]]</f>
        <v>46105.958333333088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90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90</v>
      </c>
      <c r="DH105" s="45">
        <f t="shared" ca="1" si="22"/>
        <v>0</v>
      </c>
      <c r="DI105" s="45">
        <f t="shared" ca="1" si="19"/>
        <v>0</v>
      </c>
      <c r="DJ105" s="45">
        <f t="shared" ca="1" si="20"/>
        <v>0</v>
      </c>
    </row>
    <row r="106" spans="1:114" x14ac:dyDescent="0.2">
      <c r="A106" s="175">
        <f>TblRezone[[#This Row],[Hour]]</f>
        <v>103</v>
      </c>
      <c r="B106" s="176">
        <f ca="1">SUM(TblConstr[[#This Row],[Plain]:[Water]])</f>
        <v>60</v>
      </c>
      <c r="C106" s="177">
        <f ca="1">SUM(TblConstr[[#This Row],[Tot Hom]:[Tot Doc]])</f>
        <v>50</v>
      </c>
      <c r="D106" s="177">
        <f t="shared" si="21"/>
        <v>0</v>
      </c>
      <c r="E106" s="178"/>
      <c r="F106" s="61">
        <f ca="1">TblConstr[[#This Row],[Barren]]+TblConstr[[#This Row],[Buildings]]+TblConstr[[#This Row],[Incoming]]</f>
        <v>110</v>
      </c>
      <c r="G106" s="187">
        <f ca="1">OFFSET(TblConstr[[#This Row],[Plain]],-1,0)+TblConstr[[#This Row],[Ch_Plain]]</f>
        <v>60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46105.999999999753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202797</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6" s="94">
        <f ca="1">ROUNDDOWN( MAX(1 - MIN(facs_constr_factor*TblConstr[[#This Row],[Facs -DB]],facs_constr_max) + tech_1_11*TblTech[[#This Row],[11-1]] + tech_6_3_2*TblTech[[#This Row],[6-3]] + tech_5_2_3*TblTech[[#This Row],[5-2]], 1-global_constr_cap) * TblConstr[[#This Row],[RCPA Lumber]],0)</f>
        <v>48</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6" s="94">
        <f ca="1">ROUNDDOWN( MAX(1 - MIN(facs_constr_factor*TblConstr[[#This Row],[Facs DB]],facs_constr_max) + tech_1_11*TblTech[[#This Row],[1-11]] + tech_6_3_2*TblTech[[#This Row],[6-3]] + tech_5_2_3*TblTech[[#This Row],[5-2]], 1-global_constr_cap) * ROUND((TblConstr[[#This Row],[Land]]-250)*0.285 + 87.5 + 0/4.25,0),0)</f>
        <v>48</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675</v>
      </c>
      <c r="AW106" s="94">
        <f ca="1">ROUND((TblConstr[[#This Row],[Land]]-250 - IF(TblExplore[[#This Row],[Land Bonus]]&lt;&gt;0,20,0))*0.285 + 87.5 + 0/4.25,0)</f>
        <v>48</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110</v>
      </c>
      <c r="BU106" s="159">
        <f ca="1">TblImps[[#This Row],[Time]]</f>
        <v>46105.999999999753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90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90</v>
      </c>
      <c r="DH106" s="45">
        <f t="shared" ca="1" si="22"/>
        <v>0</v>
      </c>
      <c r="DI106" s="45">
        <f t="shared" ca="1" si="19"/>
        <v>0</v>
      </c>
      <c r="DJ106" s="45">
        <f t="shared" ca="1" si="20"/>
        <v>0</v>
      </c>
    </row>
    <row r="107" spans="1:114" x14ac:dyDescent="0.2">
      <c r="A107" s="175">
        <f>TblRezone[[#This Row],[Hour]]</f>
        <v>104</v>
      </c>
      <c r="B107" s="176">
        <f ca="1">SUM(TblConstr[[#This Row],[Plain]:[Water]])</f>
        <v>60</v>
      </c>
      <c r="C107" s="177">
        <f ca="1">SUM(TblConstr[[#This Row],[Tot Hom]:[Tot Doc]])</f>
        <v>50</v>
      </c>
      <c r="D107" s="177">
        <f t="shared" si="21"/>
        <v>0</v>
      </c>
      <c r="E107" s="178"/>
      <c r="F107" s="61">
        <f ca="1">TblConstr[[#This Row],[Barren]]+TblConstr[[#This Row],[Buildings]]+TblConstr[[#This Row],[Incoming]]</f>
        <v>110</v>
      </c>
      <c r="G107" s="187">
        <f ca="1">OFFSET(TblConstr[[#This Row],[Plain]],-1,0)+TblConstr[[#This Row],[Ch_Plain]]</f>
        <v>60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46106.041666666417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203766</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7" s="94">
        <f ca="1">ROUNDDOWN( MAX(1 - MIN(facs_constr_factor*TblConstr[[#This Row],[Facs -DB]],facs_constr_max) + tech_1_11*TblTech[[#This Row],[11-1]] + tech_6_3_2*TblTech[[#This Row],[6-3]] + tech_5_2_3*TblTech[[#This Row],[5-2]], 1-global_constr_cap) * TblConstr[[#This Row],[RCPA Lumber]],0)</f>
        <v>48</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7" s="94">
        <f ca="1">ROUNDDOWN( MAX(1 - MIN(facs_constr_factor*TblConstr[[#This Row],[Facs DB]],facs_constr_max) + tech_1_11*TblTech[[#This Row],[1-11]] + tech_6_3_2*TblTech[[#This Row],[6-3]] + tech_5_2_3*TblTech[[#This Row],[5-2]], 1-global_constr_cap) * ROUND((TblConstr[[#This Row],[Land]]-250)*0.285 + 87.5 + 0/4.25,0),0)</f>
        <v>48</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675</v>
      </c>
      <c r="AW107" s="94">
        <f ca="1">ROUND((TblConstr[[#This Row],[Land]]-250 - IF(TblExplore[[#This Row],[Land Bonus]]&lt;&gt;0,20,0))*0.285 + 87.5 + 0/4.25,0)</f>
        <v>48</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110</v>
      </c>
      <c r="BU107" s="159">
        <f ca="1">TblImps[[#This Row],[Time]]</f>
        <v>46106.041666666417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90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90</v>
      </c>
      <c r="DH107" s="45">
        <f t="shared" ca="1" si="22"/>
        <v>0</v>
      </c>
      <c r="DI107" s="45">
        <f t="shared" ca="1" si="19"/>
        <v>0</v>
      </c>
      <c r="DJ107" s="45">
        <f t="shared" ca="1" si="20"/>
        <v>0</v>
      </c>
    </row>
    <row r="108" spans="1:114" x14ac:dyDescent="0.2">
      <c r="A108" s="175">
        <f>TblRezone[[#This Row],[Hour]]</f>
        <v>105</v>
      </c>
      <c r="B108" s="176">
        <f ca="1">SUM(TblConstr[[#This Row],[Plain]:[Water]])</f>
        <v>60</v>
      </c>
      <c r="C108" s="177">
        <f ca="1">SUM(TblConstr[[#This Row],[Tot Hom]:[Tot Doc]])</f>
        <v>50</v>
      </c>
      <c r="D108" s="177">
        <f t="shared" si="21"/>
        <v>0</v>
      </c>
      <c r="E108" s="178"/>
      <c r="F108" s="61">
        <f ca="1">TblConstr[[#This Row],[Barren]]+TblConstr[[#This Row],[Buildings]]+TblConstr[[#This Row],[Incoming]]</f>
        <v>110</v>
      </c>
      <c r="G108" s="187">
        <f ca="1">OFFSET(TblConstr[[#This Row],[Plain]],-1,0)+TblConstr[[#This Row],[Ch_Plain]]</f>
        <v>60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46106.083333333081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204724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8" s="94">
        <f ca="1">ROUNDDOWN( MAX(1 - MIN(facs_constr_factor*TblConstr[[#This Row],[Facs -DB]],facs_constr_max) + tech_1_11*TblTech[[#This Row],[11-1]] + tech_6_3_2*TblTech[[#This Row],[6-3]] + tech_5_2_3*TblTech[[#This Row],[5-2]], 1-global_constr_cap) * TblConstr[[#This Row],[RCPA Lumber]],0)</f>
        <v>48</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8" s="94">
        <f ca="1">ROUNDDOWN( MAX(1 - MIN(facs_constr_factor*TblConstr[[#This Row],[Facs DB]],facs_constr_max) + tech_1_11*TblTech[[#This Row],[1-11]] + tech_6_3_2*TblTech[[#This Row],[6-3]] + tech_5_2_3*TblTech[[#This Row],[5-2]], 1-global_constr_cap) * ROUND((TblConstr[[#This Row],[Land]]-250)*0.285 + 87.5 + 0/4.25,0),0)</f>
        <v>48</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675</v>
      </c>
      <c r="AW108" s="94">
        <f ca="1">ROUND((TblConstr[[#This Row],[Land]]-250 - IF(TblExplore[[#This Row],[Land Bonus]]&lt;&gt;0,20,0))*0.285 + 87.5 + 0/4.25,0)</f>
        <v>48</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110</v>
      </c>
      <c r="BU108" s="159">
        <f ca="1">TblImps[[#This Row],[Time]]</f>
        <v>46106.083333333081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90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90</v>
      </c>
      <c r="DH108" s="45">
        <f t="shared" ca="1" si="22"/>
        <v>0</v>
      </c>
      <c r="DI108" s="45">
        <f t="shared" ca="1" si="19"/>
        <v>0</v>
      </c>
      <c r="DJ108" s="45">
        <f t="shared" ca="1" si="20"/>
        <v>0</v>
      </c>
    </row>
    <row r="109" spans="1:114" x14ac:dyDescent="0.2">
      <c r="A109" s="175">
        <f>TblRezone[[#This Row],[Hour]]</f>
        <v>106</v>
      </c>
      <c r="B109" s="176">
        <f ca="1">SUM(TblConstr[[#This Row],[Plain]:[Water]])</f>
        <v>60</v>
      </c>
      <c r="C109" s="177">
        <f ca="1">SUM(TblConstr[[#This Row],[Tot Hom]:[Tot Doc]])</f>
        <v>50</v>
      </c>
      <c r="D109" s="177">
        <f t="shared" si="21"/>
        <v>0</v>
      </c>
      <c r="E109" s="178"/>
      <c r="F109" s="61">
        <f ca="1">TblConstr[[#This Row],[Barren]]+TblConstr[[#This Row],[Buildings]]+TblConstr[[#This Row],[Incoming]]</f>
        <v>110</v>
      </c>
      <c r="G109" s="187">
        <f ca="1">OFFSET(TblConstr[[#This Row],[Plain]],-1,0)+TblConstr[[#This Row],[Ch_Plain]]</f>
        <v>60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46106.124999999745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205671</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9" s="94">
        <f ca="1">ROUNDDOWN( MAX(1 - MIN(facs_constr_factor*TblConstr[[#This Row],[Facs -DB]],facs_constr_max) + tech_1_11*TblTech[[#This Row],[11-1]] + tech_6_3_2*TblTech[[#This Row],[6-3]] + tech_5_2_3*TblTech[[#This Row],[5-2]], 1-global_constr_cap) * TblConstr[[#This Row],[RCPA Lumber]],0)</f>
        <v>48</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9" s="94">
        <f ca="1">ROUNDDOWN( MAX(1 - MIN(facs_constr_factor*TblConstr[[#This Row],[Facs DB]],facs_constr_max) + tech_1_11*TblTech[[#This Row],[1-11]] + tech_6_3_2*TblTech[[#This Row],[6-3]] + tech_5_2_3*TblTech[[#This Row],[5-2]], 1-global_constr_cap) * ROUND((TblConstr[[#This Row],[Land]]-250)*0.285 + 87.5 + 0/4.25,0),0)</f>
        <v>48</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675</v>
      </c>
      <c r="AW109" s="94">
        <f ca="1">ROUND((TblConstr[[#This Row],[Land]]-250 - IF(TblExplore[[#This Row],[Land Bonus]]&lt;&gt;0,20,0))*0.285 + 87.5 + 0/4.25,0)</f>
        <v>48</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110</v>
      </c>
      <c r="BU109" s="159">
        <f ca="1">TblImps[[#This Row],[Time]]</f>
        <v>46106.124999999745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90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90</v>
      </c>
      <c r="DH109" s="45">
        <f t="shared" ca="1" si="22"/>
        <v>0</v>
      </c>
      <c r="DI109" s="45">
        <f t="shared" ca="1" si="19"/>
        <v>0</v>
      </c>
      <c r="DJ109" s="45">
        <f t="shared" ca="1" si="20"/>
        <v>0</v>
      </c>
    </row>
    <row r="110" spans="1:114" x14ac:dyDescent="0.2">
      <c r="A110" s="175">
        <f>TblRezone[[#This Row],[Hour]]</f>
        <v>107</v>
      </c>
      <c r="B110" s="176">
        <f ca="1">SUM(TblConstr[[#This Row],[Plain]:[Water]])</f>
        <v>60</v>
      </c>
      <c r="C110" s="177">
        <f ca="1">SUM(TblConstr[[#This Row],[Tot Hom]:[Tot Doc]])</f>
        <v>50</v>
      </c>
      <c r="D110" s="177">
        <f t="shared" si="21"/>
        <v>0</v>
      </c>
      <c r="E110" s="178"/>
      <c r="F110" s="61">
        <f ca="1">TblConstr[[#This Row],[Barren]]+TblConstr[[#This Row],[Buildings]]+TblConstr[[#This Row],[Incoming]]</f>
        <v>110</v>
      </c>
      <c r="G110" s="187">
        <f ca="1">OFFSET(TblConstr[[#This Row],[Plain]],-1,0)+TblConstr[[#This Row],[Ch_Plain]]</f>
        <v>60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46106.16666666641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206607</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0" s="94">
        <f ca="1">ROUNDDOWN( MAX(1 - MIN(facs_constr_factor*TblConstr[[#This Row],[Facs -DB]],facs_constr_max) + tech_1_11*TblTech[[#This Row],[11-1]] + tech_6_3_2*TblTech[[#This Row],[6-3]] + tech_5_2_3*TblTech[[#This Row],[5-2]], 1-global_constr_cap) * TblConstr[[#This Row],[RCPA Lumber]],0)</f>
        <v>48</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0" s="94">
        <f ca="1">ROUNDDOWN( MAX(1 - MIN(facs_constr_factor*TblConstr[[#This Row],[Facs DB]],facs_constr_max) + tech_1_11*TblTech[[#This Row],[1-11]] + tech_6_3_2*TblTech[[#This Row],[6-3]] + tech_5_2_3*TblTech[[#This Row],[5-2]], 1-global_constr_cap) * ROUND((TblConstr[[#This Row],[Land]]-250)*0.285 + 87.5 + 0/4.25,0),0)</f>
        <v>48</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675</v>
      </c>
      <c r="AW110" s="94">
        <f ca="1">ROUND((TblConstr[[#This Row],[Land]]-250 - IF(TblExplore[[#This Row],[Land Bonus]]&lt;&gt;0,20,0))*0.285 + 87.5 + 0/4.25,0)</f>
        <v>48</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110</v>
      </c>
      <c r="BU110" s="159">
        <f ca="1">TblImps[[#This Row],[Time]]</f>
        <v>46106.16666666641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90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90</v>
      </c>
      <c r="DH110" s="45">
        <f t="shared" ca="1" si="22"/>
        <v>0</v>
      </c>
      <c r="DI110" s="45">
        <f t="shared" ca="1" si="19"/>
        <v>0</v>
      </c>
      <c r="DJ110" s="45">
        <f t="shared" ca="1" si="20"/>
        <v>0</v>
      </c>
    </row>
    <row r="111" spans="1:114" x14ac:dyDescent="0.2">
      <c r="A111" s="175">
        <f>TblRezone[[#This Row],[Hour]]</f>
        <v>108</v>
      </c>
      <c r="B111" s="176">
        <f ca="1">SUM(TblConstr[[#This Row],[Plain]:[Water]])</f>
        <v>60</v>
      </c>
      <c r="C111" s="177">
        <f ca="1">SUM(TblConstr[[#This Row],[Tot Hom]:[Tot Doc]])</f>
        <v>50</v>
      </c>
      <c r="D111" s="177">
        <f t="shared" si="21"/>
        <v>0</v>
      </c>
      <c r="E111" s="178"/>
      <c r="F111" s="61">
        <f ca="1">TblConstr[[#This Row],[Barren]]+TblConstr[[#This Row],[Buildings]]+TblConstr[[#This Row],[Incoming]]</f>
        <v>110</v>
      </c>
      <c r="G111" s="187">
        <f ca="1">OFFSET(TblConstr[[#This Row],[Plain]],-1,0)+TblConstr[[#This Row],[Ch_Plain]]</f>
        <v>60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46106.208333333074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207535</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1" s="94">
        <f ca="1">ROUNDDOWN( MAX(1 - MIN(facs_constr_factor*TblConstr[[#This Row],[Facs -DB]],facs_constr_max) + tech_1_11*TblTech[[#This Row],[11-1]] + tech_6_3_2*TblTech[[#This Row],[6-3]] + tech_5_2_3*TblTech[[#This Row],[5-2]], 1-global_constr_cap) * TblConstr[[#This Row],[RCPA Lumber]],0)</f>
        <v>48</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1" s="94">
        <f ca="1">ROUNDDOWN( MAX(1 - MIN(facs_constr_factor*TblConstr[[#This Row],[Facs DB]],facs_constr_max) + tech_1_11*TblTech[[#This Row],[1-11]] + tech_6_3_2*TblTech[[#This Row],[6-3]] + tech_5_2_3*TblTech[[#This Row],[5-2]], 1-global_constr_cap) * ROUND((TblConstr[[#This Row],[Land]]-250)*0.285 + 87.5 + 0/4.25,0),0)</f>
        <v>48</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675</v>
      </c>
      <c r="AW111" s="94">
        <f ca="1">ROUND((TblConstr[[#This Row],[Land]]-250 - IF(TblExplore[[#This Row],[Land Bonus]]&lt;&gt;0,20,0))*0.285 + 87.5 + 0/4.25,0)</f>
        <v>48</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110</v>
      </c>
      <c r="BU111" s="159">
        <f ca="1">TblImps[[#This Row],[Time]]</f>
        <v>46106.208333333074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90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90</v>
      </c>
      <c r="DH111" s="45">
        <f t="shared" ca="1" si="22"/>
        <v>0</v>
      </c>
      <c r="DI111" s="45">
        <f t="shared" ca="1" si="19"/>
        <v>0</v>
      </c>
      <c r="DJ111" s="45">
        <f t="shared" ca="1" si="20"/>
        <v>0</v>
      </c>
    </row>
    <row r="112" spans="1:114" x14ac:dyDescent="0.2">
      <c r="A112" s="175">
        <f>TblRezone[[#This Row],[Hour]]</f>
        <v>109</v>
      </c>
      <c r="B112" s="176">
        <f ca="1">SUM(TblConstr[[#This Row],[Plain]:[Water]])</f>
        <v>60</v>
      </c>
      <c r="C112" s="177">
        <f ca="1">SUM(TblConstr[[#This Row],[Tot Hom]:[Tot Doc]])</f>
        <v>50</v>
      </c>
      <c r="D112" s="177">
        <f t="shared" si="21"/>
        <v>0</v>
      </c>
      <c r="E112" s="178"/>
      <c r="F112" s="61">
        <f ca="1">TblConstr[[#This Row],[Barren]]+TblConstr[[#This Row],[Buildings]]+TblConstr[[#This Row],[Incoming]]</f>
        <v>110</v>
      </c>
      <c r="G112" s="187">
        <f ca="1">OFFSET(TblConstr[[#This Row],[Plain]],-1,0)+TblConstr[[#This Row],[Ch_Plain]]</f>
        <v>60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46106.249999999738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208455</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2" s="94">
        <f ca="1">ROUNDDOWN( MAX(1 - MIN(facs_constr_factor*TblConstr[[#This Row],[Facs -DB]],facs_constr_max) + tech_1_11*TblTech[[#This Row],[11-1]] + tech_6_3_2*TblTech[[#This Row],[6-3]] + tech_5_2_3*TblTech[[#This Row],[5-2]], 1-global_constr_cap) * TblConstr[[#This Row],[RCPA Lumber]],0)</f>
        <v>48</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2" s="94">
        <f ca="1">ROUNDDOWN( MAX(1 - MIN(facs_constr_factor*TblConstr[[#This Row],[Facs DB]],facs_constr_max) + tech_1_11*TblTech[[#This Row],[1-11]] + tech_6_3_2*TblTech[[#This Row],[6-3]] + tech_5_2_3*TblTech[[#This Row],[5-2]], 1-global_constr_cap) * ROUND((TblConstr[[#This Row],[Land]]-250)*0.285 + 87.5 + 0/4.25,0),0)</f>
        <v>48</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675</v>
      </c>
      <c r="AW112" s="94">
        <f ca="1">ROUND((TblConstr[[#This Row],[Land]]-250 - IF(TblExplore[[#This Row],[Land Bonus]]&lt;&gt;0,20,0))*0.285 + 87.5 + 0/4.25,0)</f>
        <v>48</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110</v>
      </c>
      <c r="BU112" s="159">
        <f ca="1">TblImps[[#This Row],[Time]]</f>
        <v>46106.249999999738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90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90</v>
      </c>
      <c r="DH112" s="45">
        <f t="shared" ca="1" si="22"/>
        <v>0</v>
      </c>
      <c r="DI112" s="45">
        <f t="shared" ca="1" si="19"/>
        <v>0</v>
      </c>
      <c r="DJ112" s="45">
        <f t="shared" ca="1" si="20"/>
        <v>0</v>
      </c>
    </row>
    <row r="113" spans="1:114" x14ac:dyDescent="0.2">
      <c r="A113" s="175">
        <f>TblRezone[[#This Row],[Hour]]</f>
        <v>110</v>
      </c>
      <c r="B113" s="176">
        <f ca="1">SUM(TblConstr[[#This Row],[Plain]:[Water]])</f>
        <v>60</v>
      </c>
      <c r="C113" s="177">
        <f ca="1">SUM(TblConstr[[#This Row],[Tot Hom]:[Tot Doc]])</f>
        <v>50</v>
      </c>
      <c r="D113" s="177">
        <f t="shared" si="21"/>
        <v>0</v>
      </c>
      <c r="E113" s="178"/>
      <c r="F113" s="61">
        <f ca="1">TblConstr[[#This Row],[Barren]]+TblConstr[[#This Row],[Buildings]]+TblConstr[[#This Row],[Incoming]]</f>
        <v>110</v>
      </c>
      <c r="G113" s="187">
        <f ca="1">OFFSET(TblConstr[[#This Row],[Plain]],-1,0)+TblConstr[[#This Row],[Ch_Plain]]</f>
        <v>60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46106.291666666402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209367</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3" s="94">
        <f ca="1">ROUNDDOWN( MAX(1 - MIN(facs_constr_factor*TblConstr[[#This Row],[Facs -DB]],facs_constr_max) + tech_1_11*TblTech[[#This Row],[11-1]] + tech_6_3_2*TblTech[[#This Row],[6-3]] + tech_5_2_3*TblTech[[#This Row],[5-2]], 1-global_constr_cap) * TblConstr[[#This Row],[RCPA Lumber]],0)</f>
        <v>48</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3" s="94">
        <f ca="1">ROUNDDOWN( MAX(1 - MIN(facs_constr_factor*TblConstr[[#This Row],[Facs DB]],facs_constr_max) + tech_1_11*TblTech[[#This Row],[1-11]] + tech_6_3_2*TblTech[[#This Row],[6-3]] + tech_5_2_3*TblTech[[#This Row],[5-2]], 1-global_constr_cap) * ROUND((TblConstr[[#This Row],[Land]]-250)*0.285 + 87.5 + 0/4.25,0),0)</f>
        <v>48</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675</v>
      </c>
      <c r="AW113" s="94">
        <f ca="1">ROUND((TblConstr[[#This Row],[Land]]-250 - IF(TblExplore[[#This Row],[Land Bonus]]&lt;&gt;0,20,0))*0.285 + 87.5 + 0/4.25,0)</f>
        <v>48</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110</v>
      </c>
      <c r="BU113" s="159">
        <f ca="1">TblImps[[#This Row],[Time]]</f>
        <v>46106.291666666402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90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90</v>
      </c>
      <c r="DH113" s="45">
        <f t="shared" ca="1" si="22"/>
        <v>0</v>
      </c>
      <c r="DI113" s="45">
        <f t="shared" ca="1" si="19"/>
        <v>0</v>
      </c>
      <c r="DJ113" s="45">
        <f t="shared" ca="1" si="20"/>
        <v>0</v>
      </c>
    </row>
    <row r="114" spans="1:114" x14ac:dyDescent="0.2">
      <c r="A114" s="175">
        <f>TblRezone[[#This Row],[Hour]]</f>
        <v>111</v>
      </c>
      <c r="B114" s="176">
        <f ca="1">SUM(TblConstr[[#This Row],[Plain]:[Water]])</f>
        <v>60</v>
      </c>
      <c r="C114" s="177">
        <f ca="1">SUM(TblConstr[[#This Row],[Tot Hom]:[Tot Doc]])</f>
        <v>50</v>
      </c>
      <c r="D114" s="177">
        <f t="shared" si="21"/>
        <v>0</v>
      </c>
      <c r="E114" s="178"/>
      <c r="F114" s="61">
        <f ca="1">TblConstr[[#This Row],[Barren]]+TblConstr[[#This Row],[Buildings]]+TblConstr[[#This Row],[Incoming]]</f>
        <v>110</v>
      </c>
      <c r="G114" s="187">
        <f ca="1">OFFSET(TblConstr[[#This Row],[Plain]],-1,0)+TblConstr[[#This Row],[Ch_Plain]]</f>
        <v>60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46106.333333333067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210271</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4" s="94">
        <f ca="1">ROUNDDOWN( MAX(1 - MIN(facs_constr_factor*TblConstr[[#This Row],[Facs -DB]],facs_constr_max) + tech_1_11*TblTech[[#This Row],[11-1]] + tech_6_3_2*TblTech[[#This Row],[6-3]] + tech_5_2_3*TblTech[[#This Row],[5-2]], 1-global_constr_cap) * TblConstr[[#This Row],[RCPA Lumber]],0)</f>
        <v>48</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4" s="94">
        <f ca="1">ROUNDDOWN( MAX(1 - MIN(facs_constr_factor*TblConstr[[#This Row],[Facs DB]],facs_constr_max) + tech_1_11*TblTech[[#This Row],[1-11]] + tech_6_3_2*TblTech[[#This Row],[6-3]] + tech_5_2_3*TblTech[[#This Row],[5-2]], 1-global_constr_cap) * ROUND((TblConstr[[#This Row],[Land]]-250)*0.285 + 87.5 + 0/4.25,0),0)</f>
        <v>48</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675</v>
      </c>
      <c r="AW114" s="94">
        <f ca="1">ROUND((TblConstr[[#This Row],[Land]]-250 - IF(TblExplore[[#This Row],[Land Bonus]]&lt;&gt;0,20,0))*0.285 + 87.5 + 0/4.25,0)</f>
        <v>48</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110</v>
      </c>
      <c r="BU114" s="159">
        <f ca="1">TblImps[[#This Row],[Time]]</f>
        <v>46106.333333333067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90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90</v>
      </c>
      <c r="DH114" s="45">
        <f t="shared" ca="1" si="22"/>
        <v>0</v>
      </c>
      <c r="DI114" s="45">
        <f t="shared" ca="1" si="19"/>
        <v>0</v>
      </c>
      <c r="DJ114" s="45">
        <f t="shared" ca="1" si="20"/>
        <v>0</v>
      </c>
    </row>
    <row r="115" spans="1:114" x14ac:dyDescent="0.2">
      <c r="A115" s="175">
        <f>TblRezone[[#This Row],[Hour]]</f>
        <v>112</v>
      </c>
      <c r="B115" s="176">
        <f ca="1">SUM(TblConstr[[#This Row],[Plain]:[Water]])</f>
        <v>60</v>
      </c>
      <c r="C115" s="177">
        <f ca="1">SUM(TblConstr[[#This Row],[Tot Hom]:[Tot Doc]])</f>
        <v>50</v>
      </c>
      <c r="D115" s="177">
        <f t="shared" si="21"/>
        <v>0</v>
      </c>
      <c r="E115" s="178"/>
      <c r="F115" s="61">
        <f ca="1">TblConstr[[#This Row],[Barren]]+TblConstr[[#This Row],[Buildings]]+TblConstr[[#This Row],[Incoming]]</f>
        <v>110</v>
      </c>
      <c r="G115" s="187">
        <f ca="1">OFFSET(TblConstr[[#This Row],[Plain]],-1,0)+TblConstr[[#This Row],[Ch_Plain]]</f>
        <v>60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46106.374999999731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211167</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5" s="94">
        <f ca="1">ROUNDDOWN( MAX(1 - MIN(facs_constr_factor*TblConstr[[#This Row],[Facs -DB]],facs_constr_max) + tech_1_11*TblTech[[#This Row],[11-1]] + tech_6_3_2*TblTech[[#This Row],[6-3]] + tech_5_2_3*TblTech[[#This Row],[5-2]], 1-global_constr_cap) * TblConstr[[#This Row],[RCPA Lumber]],0)</f>
        <v>48</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5" s="94">
        <f ca="1">ROUNDDOWN( MAX(1 - MIN(facs_constr_factor*TblConstr[[#This Row],[Facs DB]],facs_constr_max) + tech_1_11*TblTech[[#This Row],[1-11]] + tech_6_3_2*TblTech[[#This Row],[6-3]] + tech_5_2_3*TblTech[[#This Row],[5-2]], 1-global_constr_cap) * ROUND((TblConstr[[#This Row],[Land]]-250)*0.285 + 87.5 + 0/4.25,0),0)</f>
        <v>48</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675</v>
      </c>
      <c r="AW115" s="94">
        <f ca="1">ROUND((TblConstr[[#This Row],[Land]]-250 - IF(TblExplore[[#This Row],[Land Bonus]]&lt;&gt;0,20,0))*0.285 + 87.5 + 0/4.25,0)</f>
        <v>48</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110</v>
      </c>
      <c r="BU115" s="159">
        <f ca="1">TblImps[[#This Row],[Time]]</f>
        <v>46106.374999999731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90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90</v>
      </c>
      <c r="DH115" s="45">
        <f t="shared" ca="1" si="22"/>
        <v>0</v>
      </c>
      <c r="DI115" s="45">
        <f t="shared" ca="1" si="19"/>
        <v>0</v>
      </c>
      <c r="DJ115" s="45">
        <f t="shared" ca="1" si="20"/>
        <v>0</v>
      </c>
    </row>
    <row r="116" spans="1:114" x14ac:dyDescent="0.2">
      <c r="A116" s="175">
        <f>TblRezone[[#This Row],[Hour]]</f>
        <v>113</v>
      </c>
      <c r="B116" s="176">
        <f ca="1">SUM(TblConstr[[#This Row],[Plain]:[Water]])</f>
        <v>60</v>
      </c>
      <c r="C116" s="177">
        <f ca="1">SUM(TblConstr[[#This Row],[Tot Hom]:[Tot Doc]])</f>
        <v>50</v>
      </c>
      <c r="D116" s="177">
        <f t="shared" si="21"/>
        <v>0</v>
      </c>
      <c r="E116" s="178"/>
      <c r="F116" s="61">
        <f ca="1">TblConstr[[#This Row],[Barren]]+TblConstr[[#This Row],[Buildings]]+TblConstr[[#This Row],[Incoming]]</f>
        <v>110</v>
      </c>
      <c r="G116" s="187">
        <f ca="1">OFFSET(TblConstr[[#This Row],[Plain]],-1,0)+TblConstr[[#This Row],[Ch_Plain]]</f>
        <v>60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46106.416666666395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212055</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6" s="94">
        <f ca="1">ROUNDDOWN( MAX(1 - MIN(facs_constr_factor*TblConstr[[#This Row],[Facs -DB]],facs_constr_max) + tech_1_11*TblTech[[#This Row],[11-1]] + tech_6_3_2*TblTech[[#This Row],[6-3]] + tech_5_2_3*TblTech[[#This Row],[5-2]], 1-global_constr_cap) * TblConstr[[#This Row],[RCPA Lumber]],0)</f>
        <v>48</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6" s="94">
        <f ca="1">ROUNDDOWN( MAX(1 - MIN(facs_constr_factor*TblConstr[[#This Row],[Facs DB]],facs_constr_max) + tech_1_11*TblTech[[#This Row],[1-11]] + tech_6_3_2*TblTech[[#This Row],[6-3]] + tech_5_2_3*TblTech[[#This Row],[5-2]], 1-global_constr_cap) * ROUND((TblConstr[[#This Row],[Land]]-250)*0.285 + 87.5 + 0/4.25,0),0)</f>
        <v>48</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675</v>
      </c>
      <c r="AW116" s="94">
        <f ca="1">ROUND((TblConstr[[#This Row],[Land]]-250 - IF(TblExplore[[#This Row],[Land Bonus]]&lt;&gt;0,20,0))*0.285 + 87.5 + 0/4.25,0)</f>
        <v>48</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110</v>
      </c>
      <c r="BU116" s="159">
        <f ca="1">TblImps[[#This Row],[Time]]</f>
        <v>46106.416666666395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90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90</v>
      </c>
      <c r="DH116" s="45">
        <f t="shared" ca="1" si="22"/>
        <v>0</v>
      </c>
      <c r="DI116" s="45">
        <f t="shared" ca="1" si="19"/>
        <v>0</v>
      </c>
      <c r="DJ116" s="45">
        <f t="shared" ca="1" si="20"/>
        <v>0</v>
      </c>
    </row>
    <row r="117" spans="1:114" x14ac:dyDescent="0.2">
      <c r="A117" s="175">
        <f>TblRezone[[#This Row],[Hour]]</f>
        <v>114</v>
      </c>
      <c r="B117" s="176">
        <f ca="1">SUM(TblConstr[[#This Row],[Plain]:[Water]])</f>
        <v>60</v>
      </c>
      <c r="C117" s="177">
        <f ca="1">SUM(TblConstr[[#This Row],[Tot Hom]:[Tot Doc]])</f>
        <v>50</v>
      </c>
      <c r="D117" s="177">
        <f t="shared" si="21"/>
        <v>0</v>
      </c>
      <c r="E117" s="178"/>
      <c r="F117" s="61">
        <f ca="1">TblConstr[[#This Row],[Barren]]+TblConstr[[#This Row],[Buildings]]+TblConstr[[#This Row],[Incoming]]</f>
        <v>110</v>
      </c>
      <c r="G117" s="187">
        <f ca="1">OFFSET(TblConstr[[#This Row],[Plain]],-1,0)+TblConstr[[#This Row],[Ch_Plain]]</f>
        <v>60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46106.458333333059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212935</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7" s="94">
        <f ca="1">ROUNDDOWN( MAX(1 - MIN(facs_constr_factor*TblConstr[[#This Row],[Facs -DB]],facs_constr_max) + tech_1_11*TblTech[[#This Row],[11-1]] + tech_6_3_2*TblTech[[#This Row],[6-3]] + tech_5_2_3*TblTech[[#This Row],[5-2]], 1-global_constr_cap) * TblConstr[[#This Row],[RCPA Lumber]],0)</f>
        <v>48</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7" s="94">
        <f ca="1">ROUNDDOWN( MAX(1 - MIN(facs_constr_factor*TblConstr[[#This Row],[Facs DB]],facs_constr_max) + tech_1_11*TblTech[[#This Row],[1-11]] + tech_6_3_2*TblTech[[#This Row],[6-3]] + tech_5_2_3*TblTech[[#This Row],[5-2]], 1-global_constr_cap) * ROUND((TblConstr[[#This Row],[Land]]-250)*0.285 + 87.5 + 0/4.25,0),0)</f>
        <v>48</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675</v>
      </c>
      <c r="AW117" s="94">
        <f ca="1">ROUND((TblConstr[[#This Row],[Land]]-250 - IF(TblExplore[[#This Row],[Land Bonus]]&lt;&gt;0,20,0))*0.285 + 87.5 + 0/4.25,0)</f>
        <v>48</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110</v>
      </c>
      <c r="BU117" s="159">
        <f ca="1">TblImps[[#This Row],[Time]]</f>
        <v>46106.458333333059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90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90</v>
      </c>
      <c r="DH117" s="45">
        <f t="shared" ca="1" si="22"/>
        <v>0</v>
      </c>
      <c r="DI117" s="45">
        <f t="shared" ca="1" si="19"/>
        <v>0</v>
      </c>
      <c r="DJ117" s="45">
        <f t="shared" ca="1" si="20"/>
        <v>0</v>
      </c>
    </row>
    <row r="118" spans="1:114" x14ac:dyDescent="0.2">
      <c r="A118" s="175">
        <f>TblRezone[[#This Row],[Hour]]</f>
        <v>115</v>
      </c>
      <c r="B118" s="176">
        <f ca="1">SUM(TblConstr[[#This Row],[Plain]:[Water]])</f>
        <v>60</v>
      </c>
      <c r="C118" s="177">
        <f ca="1">SUM(TblConstr[[#This Row],[Tot Hom]:[Tot Doc]])</f>
        <v>50</v>
      </c>
      <c r="D118" s="177">
        <f t="shared" si="21"/>
        <v>0</v>
      </c>
      <c r="E118" s="178"/>
      <c r="F118" s="61">
        <f ca="1">TblConstr[[#This Row],[Barren]]+TblConstr[[#This Row],[Buildings]]+TblConstr[[#This Row],[Incoming]]</f>
        <v>110</v>
      </c>
      <c r="G118" s="187">
        <f ca="1">OFFSET(TblConstr[[#This Row],[Plain]],-1,0)+TblConstr[[#This Row],[Ch_Plain]]</f>
        <v>60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46106.499999999724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213807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8" s="94">
        <f ca="1">ROUNDDOWN( MAX(1 - MIN(facs_constr_factor*TblConstr[[#This Row],[Facs -DB]],facs_constr_max) + tech_1_11*TblTech[[#This Row],[11-1]] + tech_6_3_2*TblTech[[#This Row],[6-3]] + tech_5_2_3*TblTech[[#This Row],[5-2]], 1-global_constr_cap) * TblConstr[[#This Row],[RCPA Lumber]],0)</f>
        <v>48</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8" s="94">
        <f ca="1">ROUNDDOWN( MAX(1 - MIN(facs_constr_factor*TblConstr[[#This Row],[Facs DB]],facs_constr_max) + tech_1_11*TblTech[[#This Row],[1-11]] + tech_6_3_2*TblTech[[#This Row],[6-3]] + tech_5_2_3*TblTech[[#This Row],[5-2]], 1-global_constr_cap) * ROUND((TblConstr[[#This Row],[Land]]-250)*0.285 + 87.5 + 0/4.25,0),0)</f>
        <v>48</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675</v>
      </c>
      <c r="AW118" s="94">
        <f ca="1">ROUND((TblConstr[[#This Row],[Land]]-250 - IF(TblExplore[[#This Row],[Land Bonus]]&lt;&gt;0,20,0))*0.285 + 87.5 + 0/4.25,0)</f>
        <v>48</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110</v>
      </c>
      <c r="BU118" s="159">
        <f ca="1">TblImps[[#This Row],[Time]]</f>
        <v>46106.499999999724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90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90</v>
      </c>
      <c r="DH118" s="45">
        <f t="shared" ca="1" si="22"/>
        <v>0</v>
      </c>
      <c r="DI118" s="45">
        <f t="shared" ca="1" si="19"/>
        <v>0</v>
      </c>
      <c r="DJ118" s="45">
        <f t="shared" ca="1" si="20"/>
        <v>0</v>
      </c>
    </row>
    <row r="119" spans="1:114" x14ac:dyDescent="0.2">
      <c r="A119" s="175">
        <f>TblRezone[[#This Row],[Hour]]</f>
        <v>116</v>
      </c>
      <c r="B119" s="176">
        <f ca="1">SUM(TblConstr[[#This Row],[Plain]:[Water]])</f>
        <v>60</v>
      </c>
      <c r="C119" s="177">
        <f ca="1">SUM(TblConstr[[#This Row],[Tot Hom]:[Tot Doc]])</f>
        <v>50</v>
      </c>
      <c r="D119" s="177">
        <f t="shared" si="21"/>
        <v>0</v>
      </c>
      <c r="E119" s="178"/>
      <c r="F119" s="61">
        <f ca="1">TblConstr[[#This Row],[Barren]]+TblConstr[[#This Row],[Buildings]]+TblConstr[[#This Row],[Incoming]]</f>
        <v>110</v>
      </c>
      <c r="G119" s="187">
        <f ca="1">OFFSET(TblConstr[[#This Row],[Plain]],-1,0)+TblConstr[[#This Row],[Ch_Plain]]</f>
        <v>60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46106.541666666388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214671</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9" s="94">
        <f ca="1">ROUNDDOWN( MAX(1 - MIN(facs_constr_factor*TblConstr[[#This Row],[Facs -DB]],facs_constr_max) + tech_1_11*TblTech[[#This Row],[11-1]] + tech_6_3_2*TblTech[[#This Row],[6-3]] + tech_5_2_3*TblTech[[#This Row],[5-2]], 1-global_constr_cap) * TblConstr[[#This Row],[RCPA Lumber]],0)</f>
        <v>48</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9" s="94">
        <f ca="1">ROUNDDOWN( MAX(1 - MIN(facs_constr_factor*TblConstr[[#This Row],[Facs DB]],facs_constr_max) + tech_1_11*TblTech[[#This Row],[1-11]] + tech_6_3_2*TblTech[[#This Row],[6-3]] + tech_5_2_3*TblTech[[#This Row],[5-2]], 1-global_constr_cap) * ROUND((TblConstr[[#This Row],[Land]]-250)*0.285 + 87.5 + 0/4.25,0),0)</f>
        <v>48</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675</v>
      </c>
      <c r="AW119" s="94">
        <f ca="1">ROUND((TblConstr[[#This Row],[Land]]-250 - IF(TblExplore[[#This Row],[Land Bonus]]&lt;&gt;0,20,0))*0.285 + 87.5 + 0/4.25,0)</f>
        <v>48</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110</v>
      </c>
      <c r="BU119" s="159">
        <f ca="1">TblImps[[#This Row],[Time]]</f>
        <v>46106.541666666388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90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90</v>
      </c>
      <c r="DH119" s="45">
        <f t="shared" ca="1" si="22"/>
        <v>0</v>
      </c>
      <c r="DI119" s="45">
        <f t="shared" ca="1" si="19"/>
        <v>0</v>
      </c>
      <c r="DJ119" s="45">
        <f t="shared" ca="1" si="20"/>
        <v>0</v>
      </c>
    </row>
    <row r="120" spans="1:114" x14ac:dyDescent="0.2">
      <c r="A120" s="175">
        <f>TblRezone[[#This Row],[Hour]]</f>
        <v>117</v>
      </c>
      <c r="B120" s="176">
        <f ca="1">SUM(TblConstr[[#This Row],[Plain]:[Water]])</f>
        <v>60</v>
      </c>
      <c r="C120" s="177">
        <f ca="1">SUM(TblConstr[[#This Row],[Tot Hom]:[Tot Doc]])</f>
        <v>50</v>
      </c>
      <c r="D120" s="177">
        <f t="shared" si="21"/>
        <v>0</v>
      </c>
      <c r="E120" s="178"/>
      <c r="F120" s="61">
        <f ca="1">TblConstr[[#This Row],[Barren]]+TblConstr[[#This Row],[Buildings]]+TblConstr[[#This Row],[Incoming]]</f>
        <v>110</v>
      </c>
      <c r="G120" s="187">
        <f ca="1">OFFSET(TblConstr[[#This Row],[Plain]],-1,0)+TblConstr[[#This Row],[Ch_Plain]]</f>
        <v>60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46106.583333333052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215526</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0" s="94">
        <f ca="1">ROUNDDOWN( MAX(1 - MIN(facs_constr_factor*TblConstr[[#This Row],[Facs -DB]],facs_constr_max) + tech_1_11*TblTech[[#This Row],[11-1]] + tech_6_3_2*TblTech[[#This Row],[6-3]] + tech_5_2_3*TblTech[[#This Row],[5-2]], 1-global_constr_cap) * TblConstr[[#This Row],[RCPA Lumber]],0)</f>
        <v>48</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0" s="94">
        <f ca="1">ROUNDDOWN( MAX(1 - MIN(facs_constr_factor*TblConstr[[#This Row],[Facs DB]],facs_constr_max) + tech_1_11*TblTech[[#This Row],[1-11]] + tech_6_3_2*TblTech[[#This Row],[6-3]] + tech_5_2_3*TblTech[[#This Row],[5-2]], 1-global_constr_cap) * ROUND((TblConstr[[#This Row],[Land]]-250)*0.285 + 87.5 + 0/4.25,0),0)</f>
        <v>48</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675</v>
      </c>
      <c r="AW120" s="94">
        <f ca="1">ROUND((TblConstr[[#This Row],[Land]]-250 - IF(TblExplore[[#This Row],[Land Bonus]]&lt;&gt;0,20,0))*0.285 + 87.5 + 0/4.25,0)</f>
        <v>48</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110</v>
      </c>
      <c r="BU120" s="159">
        <f ca="1">TblImps[[#This Row],[Time]]</f>
        <v>46106.583333333052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90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90</v>
      </c>
      <c r="DH120" s="45">
        <f t="shared" ca="1" si="22"/>
        <v>0</v>
      </c>
      <c r="DI120" s="45">
        <f t="shared" ca="1" si="19"/>
        <v>0</v>
      </c>
      <c r="DJ120" s="45">
        <f t="shared" ca="1" si="20"/>
        <v>0</v>
      </c>
    </row>
    <row r="121" spans="1:114" x14ac:dyDescent="0.2">
      <c r="A121" s="175">
        <f>TblRezone[[#This Row],[Hour]]</f>
        <v>118</v>
      </c>
      <c r="B121" s="176">
        <f ca="1">SUM(TblConstr[[#This Row],[Plain]:[Water]])</f>
        <v>60</v>
      </c>
      <c r="C121" s="177">
        <f ca="1">SUM(TblConstr[[#This Row],[Tot Hom]:[Tot Doc]])</f>
        <v>50</v>
      </c>
      <c r="D121" s="177">
        <f t="shared" si="21"/>
        <v>0</v>
      </c>
      <c r="E121" s="178"/>
      <c r="F121" s="61">
        <f ca="1">TblConstr[[#This Row],[Barren]]+TblConstr[[#This Row],[Buildings]]+TblConstr[[#This Row],[Incoming]]</f>
        <v>110</v>
      </c>
      <c r="G121" s="187">
        <f ca="1">OFFSET(TblConstr[[#This Row],[Plain]],-1,0)+TblConstr[[#This Row],[Ch_Plain]]</f>
        <v>60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46106.624999999716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216373</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1" s="94">
        <f ca="1">ROUNDDOWN( MAX(1 - MIN(facs_constr_factor*TblConstr[[#This Row],[Facs -DB]],facs_constr_max) + tech_1_11*TblTech[[#This Row],[11-1]] + tech_6_3_2*TblTech[[#This Row],[6-3]] + tech_5_2_3*TblTech[[#This Row],[5-2]], 1-global_constr_cap) * TblConstr[[#This Row],[RCPA Lumber]],0)</f>
        <v>48</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1" s="94">
        <f ca="1">ROUNDDOWN( MAX(1 - MIN(facs_constr_factor*TblConstr[[#This Row],[Facs DB]],facs_constr_max) + tech_1_11*TblTech[[#This Row],[1-11]] + tech_6_3_2*TblTech[[#This Row],[6-3]] + tech_5_2_3*TblTech[[#This Row],[5-2]], 1-global_constr_cap) * ROUND((TblConstr[[#This Row],[Land]]-250)*0.285 + 87.5 + 0/4.25,0),0)</f>
        <v>48</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675</v>
      </c>
      <c r="AW121" s="94">
        <f ca="1">ROUND((TblConstr[[#This Row],[Land]]-250 - IF(TblExplore[[#This Row],[Land Bonus]]&lt;&gt;0,20,0))*0.285 + 87.5 + 0/4.25,0)</f>
        <v>48</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110</v>
      </c>
      <c r="BU121" s="159">
        <f ca="1">TblImps[[#This Row],[Time]]</f>
        <v>46106.624999999716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90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90</v>
      </c>
      <c r="DH121" s="45">
        <f t="shared" ca="1" si="22"/>
        <v>0</v>
      </c>
      <c r="DI121" s="45">
        <f t="shared" ca="1" si="19"/>
        <v>0</v>
      </c>
      <c r="DJ121" s="45">
        <f t="shared" ca="1" si="20"/>
        <v>0</v>
      </c>
    </row>
    <row r="122" spans="1:114" x14ac:dyDescent="0.2">
      <c r="A122" s="175">
        <f>TblRezone[[#This Row],[Hour]]</f>
        <v>119</v>
      </c>
      <c r="B122" s="176">
        <f ca="1">SUM(TblConstr[[#This Row],[Plain]:[Water]])</f>
        <v>60</v>
      </c>
      <c r="C122" s="177">
        <f ca="1">SUM(TblConstr[[#This Row],[Tot Hom]:[Tot Doc]])</f>
        <v>50</v>
      </c>
      <c r="D122" s="177">
        <f t="shared" si="21"/>
        <v>0</v>
      </c>
      <c r="E122" s="178"/>
      <c r="F122" s="61">
        <f ca="1">TblConstr[[#This Row],[Barren]]+TblConstr[[#This Row],[Buildings]]+TblConstr[[#This Row],[Incoming]]</f>
        <v>110</v>
      </c>
      <c r="G122" s="187">
        <f ca="1">OFFSET(TblConstr[[#This Row],[Plain]],-1,0)+TblConstr[[#This Row],[Ch_Plain]]</f>
        <v>60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46106.66666666638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217212</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2" s="94">
        <f ca="1">ROUNDDOWN( MAX(1 - MIN(facs_constr_factor*TblConstr[[#This Row],[Facs -DB]],facs_constr_max) + tech_1_11*TblTech[[#This Row],[11-1]] + tech_6_3_2*TblTech[[#This Row],[6-3]] + tech_5_2_3*TblTech[[#This Row],[5-2]], 1-global_constr_cap) * TblConstr[[#This Row],[RCPA Lumber]],0)</f>
        <v>48</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2" s="94">
        <f ca="1">ROUNDDOWN( MAX(1 - MIN(facs_constr_factor*TblConstr[[#This Row],[Facs DB]],facs_constr_max) + tech_1_11*TblTech[[#This Row],[1-11]] + tech_6_3_2*TblTech[[#This Row],[6-3]] + tech_5_2_3*TblTech[[#This Row],[5-2]], 1-global_constr_cap) * ROUND((TblConstr[[#This Row],[Land]]-250)*0.285 + 87.5 + 0/4.25,0),0)</f>
        <v>48</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675</v>
      </c>
      <c r="AW122" s="94">
        <f ca="1">ROUND((TblConstr[[#This Row],[Land]]-250 - IF(TblExplore[[#This Row],[Land Bonus]]&lt;&gt;0,20,0))*0.285 + 87.5 + 0/4.25,0)</f>
        <v>48</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110</v>
      </c>
      <c r="BU122" s="159">
        <f ca="1">TblImps[[#This Row],[Time]]</f>
        <v>46106.66666666638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90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90</v>
      </c>
      <c r="DH122" s="45">
        <f t="shared" ca="1" si="22"/>
        <v>0</v>
      </c>
      <c r="DI122" s="45">
        <f t="shared" ca="1" si="19"/>
        <v>0</v>
      </c>
      <c r="DJ122" s="45">
        <f t="shared" ca="1" si="20"/>
        <v>0</v>
      </c>
    </row>
    <row r="123" spans="1:114" x14ac:dyDescent="0.2">
      <c r="A123" s="175">
        <f>TblRezone[[#This Row],[Hour]]</f>
        <v>120</v>
      </c>
      <c r="B123" s="176">
        <f ca="1">SUM(TblConstr[[#This Row],[Plain]:[Water]])</f>
        <v>60</v>
      </c>
      <c r="C123" s="177">
        <f ca="1">SUM(TblConstr[[#This Row],[Tot Hom]:[Tot Doc]])</f>
        <v>50</v>
      </c>
      <c r="D123" s="177">
        <f t="shared" si="21"/>
        <v>0</v>
      </c>
      <c r="E123" s="178"/>
      <c r="F123" s="61">
        <f ca="1">TblConstr[[#This Row],[Barren]]+TblConstr[[#This Row],[Buildings]]+TblConstr[[#This Row],[Incoming]]</f>
        <v>110</v>
      </c>
      <c r="G123" s="187">
        <f ca="1">OFFSET(TblConstr[[#This Row],[Plain]],-1,0)+TblConstr[[#This Row],[Ch_Plain]]</f>
        <v>60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46106.708333333045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218043</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3" s="94">
        <f ca="1">ROUNDDOWN( MAX(1 - MIN(facs_constr_factor*TblConstr[[#This Row],[Facs -DB]],facs_constr_max) + tech_1_11*TblTech[[#This Row],[11-1]] + tech_6_3_2*TblTech[[#This Row],[6-3]] + tech_5_2_3*TblTech[[#This Row],[5-2]], 1-global_constr_cap) * TblConstr[[#This Row],[RCPA Lumber]],0)</f>
        <v>48</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3" s="94">
        <f ca="1">ROUNDDOWN( MAX(1 - MIN(facs_constr_factor*TblConstr[[#This Row],[Facs DB]],facs_constr_max) + tech_1_11*TblTech[[#This Row],[1-11]] + tech_6_3_2*TblTech[[#This Row],[6-3]] + tech_5_2_3*TblTech[[#This Row],[5-2]], 1-global_constr_cap) * ROUND((TblConstr[[#This Row],[Land]]-250)*0.285 + 87.5 + 0/4.25,0),0)</f>
        <v>48</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675</v>
      </c>
      <c r="AW123" s="94">
        <f ca="1">ROUND((TblConstr[[#This Row],[Land]]-250 - IF(TblExplore[[#This Row],[Land Bonus]]&lt;&gt;0,20,0))*0.285 + 87.5 + 0/4.25,0)</f>
        <v>48</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110</v>
      </c>
      <c r="BU123" s="159">
        <f ca="1">TblImps[[#This Row],[Time]]</f>
        <v>46106.708333333045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90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90</v>
      </c>
      <c r="DH123" s="45">
        <f t="shared" ca="1" si="22"/>
        <v>0</v>
      </c>
      <c r="DI123" s="45">
        <f t="shared" ca="1" si="19"/>
        <v>0</v>
      </c>
      <c r="DJ123" s="45">
        <f t="shared" ca="1" si="20"/>
        <v>0</v>
      </c>
    </row>
    <row r="124" spans="1:114" x14ac:dyDescent="0.2">
      <c r="A124" s="175">
        <f>TblRezone[[#This Row],[Hour]]</f>
        <v>121</v>
      </c>
      <c r="B124" s="176">
        <f ca="1">SUM(TblConstr[[#This Row],[Plain]:[Water]])</f>
        <v>60</v>
      </c>
      <c r="C124" s="177">
        <f ca="1">SUM(TblConstr[[#This Row],[Tot Hom]:[Tot Doc]])</f>
        <v>50</v>
      </c>
      <c r="D124" s="177">
        <f t="shared" si="21"/>
        <v>0</v>
      </c>
      <c r="E124" s="178"/>
      <c r="F124" s="61">
        <f ca="1">TblConstr[[#This Row],[Barren]]+TblConstr[[#This Row],[Buildings]]+TblConstr[[#This Row],[Incoming]]</f>
        <v>110</v>
      </c>
      <c r="G124" s="187">
        <f ca="1">OFFSET(TblConstr[[#This Row],[Plain]],-1,0)+TblConstr[[#This Row],[Ch_Plain]]</f>
        <v>60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46106.749999999709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218866</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4" s="94">
        <f ca="1">ROUNDDOWN( MAX(1 - MIN(facs_constr_factor*TblConstr[[#This Row],[Facs -DB]],facs_constr_max) + tech_1_11*TblTech[[#This Row],[11-1]] + tech_6_3_2*TblTech[[#This Row],[6-3]] + tech_5_2_3*TblTech[[#This Row],[5-2]], 1-global_constr_cap) * TblConstr[[#This Row],[RCPA Lumber]],0)</f>
        <v>48</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4" s="94">
        <f ca="1">ROUNDDOWN( MAX(1 - MIN(facs_constr_factor*TblConstr[[#This Row],[Facs DB]],facs_constr_max) + tech_1_11*TblTech[[#This Row],[1-11]] + tech_6_3_2*TblTech[[#This Row],[6-3]] + tech_5_2_3*TblTech[[#This Row],[5-2]], 1-global_constr_cap) * ROUND((TblConstr[[#This Row],[Land]]-250)*0.285 + 87.5 + 0/4.25,0),0)</f>
        <v>48</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675</v>
      </c>
      <c r="AW124" s="94">
        <f ca="1">ROUND((TblConstr[[#This Row],[Land]]-250 - IF(TblExplore[[#This Row],[Land Bonus]]&lt;&gt;0,20,0))*0.285 + 87.5 + 0/4.25,0)</f>
        <v>48</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110</v>
      </c>
      <c r="BU124" s="159">
        <f ca="1">TblImps[[#This Row],[Time]]</f>
        <v>46106.749999999709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90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90</v>
      </c>
      <c r="DH124" s="45">
        <f t="shared" ca="1" si="22"/>
        <v>0</v>
      </c>
      <c r="DI124" s="45">
        <f t="shared" ca="1" si="19"/>
        <v>0</v>
      </c>
      <c r="DJ124" s="45">
        <f t="shared" ca="1" si="20"/>
        <v>0</v>
      </c>
    </row>
    <row r="125" spans="1:114" x14ac:dyDescent="0.2">
      <c r="A125" s="175">
        <f>TblRezone[[#This Row],[Hour]]</f>
        <v>122</v>
      </c>
      <c r="B125" s="176">
        <f ca="1">SUM(TblConstr[[#This Row],[Plain]:[Water]])</f>
        <v>60</v>
      </c>
      <c r="C125" s="177">
        <f ca="1">SUM(TblConstr[[#This Row],[Tot Hom]:[Tot Doc]])</f>
        <v>50</v>
      </c>
      <c r="D125" s="177">
        <f t="shared" si="21"/>
        <v>0</v>
      </c>
      <c r="E125" s="178"/>
      <c r="F125" s="61">
        <f ca="1">TblConstr[[#This Row],[Barren]]+TblConstr[[#This Row],[Buildings]]+TblConstr[[#This Row],[Incoming]]</f>
        <v>110</v>
      </c>
      <c r="G125" s="187">
        <f ca="1">OFFSET(TblConstr[[#This Row],[Plain]],-1,0)+TblConstr[[#This Row],[Ch_Plain]]</f>
        <v>60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46106.791666666373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219681</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5" s="94">
        <f ca="1">ROUNDDOWN( MAX(1 - MIN(facs_constr_factor*TblConstr[[#This Row],[Facs -DB]],facs_constr_max) + tech_1_11*TblTech[[#This Row],[11-1]] + tech_6_3_2*TblTech[[#This Row],[6-3]] + tech_5_2_3*TblTech[[#This Row],[5-2]], 1-global_constr_cap) * TblConstr[[#This Row],[RCPA Lumber]],0)</f>
        <v>48</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5" s="94">
        <f ca="1">ROUNDDOWN( MAX(1 - MIN(facs_constr_factor*TblConstr[[#This Row],[Facs DB]],facs_constr_max) + tech_1_11*TblTech[[#This Row],[1-11]] + tech_6_3_2*TblTech[[#This Row],[6-3]] + tech_5_2_3*TblTech[[#This Row],[5-2]], 1-global_constr_cap) * ROUND((TblConstr[[#This Row],[Land]]-250)*0.285 + 87.5 + 0/4.25,0),0)</f>
        <v>48</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675</v>
      </c>
      <c r="AW125" s="94">
        <f ca="1">ROUND((TblConstr[[#This Row],[Land]]-250 - IF(TblExplore[[#This Row],[Land Bonus]]&lt;&gt;0,20,0))*0.285 + 87.5 + 0/4.25,0)</f>
        <v>48</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110</v>
      </c>
      <c r="BU125" s="159">
        <f ca="1">TblImps[[#This Row],[Time]]</f>
        <v>46106.791666666373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90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90</v>
      </c>
      <c r="DH125" s="45">
        <f t="shared" ca="1" si="22"/>
        <v>0</v>
      </c>
      <c r="DI125" s="45">
        <f t="shared" ca="1" si="19"/>
        <v>0</v>
      </c>
      <c r="DJ125" s="45">
        <f t="shared" ca="1" si="20"/>
        <v>0</v>
      </c>
    </row>
    <row r="126" spans="1:114" x14ac:dyDescent="0.2">
      <c r="A126" s="175">
        <f>TblRezone[[#This Row],[Hour]]</f>
        <v>123</v>
      </c>
      <c r="B126" s="176">
        <f ca="1">SUM(TblConstr[[#This Row],[Plain]:[Water]])</f>
        <v>60</v>
      </c>
      <c r="C126" s="177">
        <f ca="1">SUM(TblConstr[[#This Row],[Tot Hom]:[Tot Doc]])</f>
        <v>50</v>
      </c>
      <c r="D126" s="177">
        <f t="shared" si="21"/>
        <v>0</v>
      </c>
      <c r="E126" s="178"/>
      <c r="F126" s="61">
        <f ca="1">TblConstr[[#This Row],[Barren]]+TblConstr[[#This Row],[Buildings]]+TblConstr[[#This Row],[Incoming]]</f>
        <v>110</v>
      </c>
      <c r="G126" s="187">
        <f ca="1">OFFSET(TblConstr[[#This Row],[Plain]],-1,0)+TblConstr[[#This Row],[Ch_Plain]]</f>
        <v>60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46106.833333333037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220488</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6" s="94">
        <f ca="1">ROUNDDOWN( MAX(1 - MIN(facs_constr_factor*TblConstr[[#This Row],[Facs -DB]],facs_constr_max) + tech_1_11*TblTech[[#This Row],[11-1]] + tech_6_3_2*TblTech[[#This Row],[6-3]] + tech_5_2_3*TblTech[[#This Row],[5-2]], 1-global_constr_cap) * TblConstr[[#This Row],[RCPA Lumber]],0)</f>
        <v>48</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6" s="94">
        <f ca="1">ROUNDDOWN( MAX(1 - MIN(facs_constr_factor*TblConstr[[#This Row],[Facs DB]],facs_constr_max) + tech_1_11*TblTech[[#This Row],[1-11]] + tech_6_3_2*TblTech[[#This Row],[6-3]] + tech_5_2_3*TblTech[[#This Row],[5-2]], 1-global_constr_cap) * ROUND((TblConstr[[#This Row],[Land]]-250)*0.285 + 87.5 + 0/4.25,0),0)</f>
        <v>48</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675</v>
      </c>
      <c r="AW126" s="94">
        <f ca="1">ROUND((TblConstr[[#This Row],[Land]]-250 - IF(TblExplore[[#This Row],[Land Bonus]]&lt;&gt;0,20,0))*0.285 + 87.5 + 0/4.25,0)</f>
        <v>48</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110</v>
      </c>
      <c r="BU126" s="159">
        <f ca="1">TblImps[[#This Row],[Time]]</f>
        <v>46106.833333333037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90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90</v>
      </c>
      <c r="DH126" s="45">
        <f t="shared" ca="1" si="22"/>
        <v>0</v>
      </c>
      <c r="DI126" s="45">
        <f t="shared" ca="1" si="19"/>
        <v>0</v>
      </c>
      <c r="DJ126" s="45">
        <f t="shared" ca="1" si="20"/>
        <v>0</v>
      </c>
    </row>
    <row r="127" spans="1:114" x14ac:dyDescent="0.2">
      <c r="A127" s="175">
        <f>TblRezone[[#This Row],[Hour]]</f>
        <v>124</v>
      </c>
      <c r="B127" s="176">
        <f ca="1">SUM(TblConstr[[#This Row],[Plain]:[Water]])</f>
        <v>60</v>
      </c>
      <c r="C127" s="177">
        <f ca="1">SUM(TblConstr[[#This Row],[Tot Hom]:[Tot Doc]])</f>
        <v>50</v>
      </c>
      <c r="D127" s="177">
        <f t="shared" si="21"/>
        <v>0</v>
      </c>
      <c r="E127" s="178"/>
      <c r="F127" s="61">
        <f ca="1">TblConstr[[#This Row],[Barren]]+TblConstr[[#This Row],[Buildings]]+TblConstr[[#This Row],[Incoming]]</f>
        <v>110</v>
      </c>
      <c r="G127" s="187">
        <f ca="1">OFFSET(TblConstr[[#This Row],[Plain]],-1,0)+TblConstr[[#This Row],[Ch_Plain]]</f>
        <v>60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46106.874999999702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221287</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7" s="94">
        <f ca="1">ROUNDDOWN( MAX(1 - MIN(facs_constr_factor*TblConstr[[#This Row],[Facs -DB]],facs_constr_max) + tech_1_11*TblTech[[#This Row],[11-1]] + tech_6_3_2*TblTech[[#This Row],[6-3]] + tech_5_2_3*TblTech[[#This Row],[5-2]], 1-global_constr_cap) * TblConstr[[#This Row],[RCPA Lumber]],0)</f>
        <v>48</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7" s="94">
        <f ca="1">ROUNDDOWN( MAX(1 - MIN(facs_constr_factor*TblConstr[[#This Row],[Facs DB]],facs_constr_max) + tech_1_11*TblTech[[#This Row],[1-11]] + tech_6_3_2*TblTech[[#This Row],[6-3]] + tech_5_2_3*TblTech[[#This Row],[5-2]], 1-global_constr_cap) * ROUND((TblConstr[[#This Row],[Land]]-250)*0.285 + 87.5 + 0/4.25,0),0)</f>
        <v>48</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675</v>
      </c>
      <c r="AW127" s="94">
        <f ca="1">ROUND((TblConstr[[#This Row],[Land]]-250 - IF(TblExplore[[#This Row],[Land Bonus]]&lt;&gt;0,20,0))*0.285 + 87.5 + 0/4.25,0)</f>
        <v>48</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110</v>
      </c>
      <c r="BU127" s="159">
        <f ca="1">TblImps[[#This Row],[Time]]</f>
        <v>46106.874999999702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90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90</v>
      </c>
      <c r="DH127" s="45">
        <f t="shared" ca="1" si="22"/>
        <v>0</v>
      </c>
      <c r="DI127" s="45">
        <f t="shared" ca="1" si="19"/>
        <v>0</v>
      </c>
      <c r="DJ127" s="45">
        <f t="shared" ca="1" si="20"/>
        <v>0</v>
      </c>
    </row>
    <row r="128" spans="1:114" x14ac:dyDescent="0.2">
      <c r="A128" s="175">
        <f>TblRezone[[#This Row],[Hour]]</f>
        <v>125</v>
      </c>
      <c r="B128" s="176">
        <f ca="1">SUM(TblConstr[[#This Row],[Plain]:[Water]])</f>
        <v>60</v>
      </c>
      <c r="C128" s="177">
        <f ca="1">SUM(TblConstr[[#This Row],[Tot Hom]:[Tot Doc]])</f>
        <v>50</v>
      </c>
      <c r="D128" s="177">
        <f t="shared" si="21"/>
        <v>0</v>
      </c>
      <c r="E128" s="178"/>
      <c r="F128" s="61">
        <f ca="1">TblConstr[[#This Row],[Barren]]+TblConstr[[#This Row],[Buildings]]+TblConstr[[#This Row],[Incoming]]</f>
        <v>110</v>
      </c>
      <c r="G128" s="187">
        <f ca="1">OFFSET(TblConstr[[#This Row],[Plain]],-1,0)+TblConstr[[#This Row],[Ch_Plain]]</f>
        <v>60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46106.916666666366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222078</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8" s="94">
        <f ca="1">ROUNDDOWN( MAX(1 - MIN(facs_constr_factor*TblConstr[[#This Row],[Facs -DB]],facs_constr_max) + tech_1_11*TblTech[[#This Row],[11-1]] + tech_6_3_2*TblTech[[#This Row],[6-3]] + tech_5_2_3*TblTech[[#This Row],[5-2]], 1-global_constr_cap) * TblConstr[[#This Row],[RCPA Lumber]],0)</f>
        <v>48</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8" s="94">
        <f ca="1">ROUNDDOWN( MAX(1 - MIN(facs_constr_factor*TblConstr[[#This Row],[Facs DB]],facs_constr_max) + tech_1_11*TblTech[[#This Row],[1-11]] + tech_6_3_2*TblTech[[#This Row],[6-3]] + tech_5_2_3*TblTech[[#This Row],[5-2]], 1-global_constr_cap) * ROUND((TblConstr[[#This Row],[Land]]-250)*0.285 + 87.5 + 0/4.25,0),0)</f>
        <v>48</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675</v>
      </c>
      <c r="AW128" s="94">
        <f ca="1">ROUND((TblConstr[[#This Row],[Land]]-250 - IF(TblExplore[[#This Row],[Land Bonus]]&lt;&gt;0,20,0))*0.285 + 87.5 + 0/4.25,0)</f>
        <v>48</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110</v>
      </c>
      <c r="BU128" s="159">
        <f ca="1">TblImps[[#This Row],[Time]]</f>
        <v>46106.916666666366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90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90</v>
      </c>
      <c r="DH128" s="45">
        <f t="shared" ca="1" si="22"/>
        <v>0</v>
      </c>
      <c r="DI128" s="45">
        <f t="shared" ca="1" si="19"/>
        <v>0</v>
      </c>
      <c r="DJ128" s="45">
        <f t="shared" ca="1" si="20"/>
        <v>0</v>
      </c>
    </row>
    <row r="129" spans="1:114" x14ac:dyDescent="0.2">
      <c r="A129" s="175">
        <f>TblRezone[[#This Row],[Hour]]</f>
        <v>126</v>
      </c>
      <c r="B129" s="176">
        <f ca="1">SUM(TblConstr[[#This Row],[Plain]:[Water]])</f>
        <v>60</v>
      </c>
      <c r="C129" s="177">
        <f ca="1">SUM(TblConstr[[#This Row],[Tot Hom]:[Tot Doc]])</f>
        <v>50</v>
      </c>
      <c r="D129" s="177">
        <f t="shared" si="21"/>
        <v>0</v>
      </c>
      <c r="E129" s="178"/>
      <c r="F129" s="61">
        <f ca="1">TblConstr[[#This Row],[Barren]]+TblConstr[[#This Row],[Buildings]]+TblConstr[[#This Row],[Incoming]]</f>
        <v>110</v>
      </c>
      <c r="G129" s="187">
        <f ca="1">OFFSET(TblConstr[[#This Row],[Plain]],-1,0)+TblConstr[[#This Row],[Ch_Plain]]</f>
        <v>60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46106.95833333303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222861</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9" s="94">
        <f ca="1">ROUNDDOWN( MAX(1 - MIN(facs_constr_factor*TblConstr[[#This Row],[Facs -DB]],facs_constr_max) + tech_1_11*TblTech[[#This Row],[11-1]] + tech_6_3_2*TblTech[[#This Row],[6-3]] + tech_5_2_3*TblTech[[#This Row],[5-2]], 1-global_constr_cap) * TblConstr[[#This Row],[RCPA Lumber]],0)</f>
        <v>48</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9" s="94">
        <f ca="1">ROUNDDOWN( MAX(1 - MIN(facs_constr_factor*TblConstr[[#This Row],[Facs DB]],facs_constr_max) + tech_1_11*TblTech[[#This Row],[1-11]] + tech_6_3_2*TblTech[[#This Row],[6-3]] + tech_5_2_3*TblTech[[#This Row],[5-2]], 1-global_constr_cap) * ROUND((TblConstr[[#This Row],[Land]]-250)*0.285 + 87.5 + 0/4.25,0),0)</f>
        <v>48</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675</v>
      </c>
      <c r="AW129" s="94">
        <f ca="1">ROUND((TblConstr[[#This Row],[Land]]-250 - IF(TblExplore[[#This Row],[Land Bonus]]&lt;&gt;0,20,0))*0.285 + 87.5 + 0/4.25,0)</f>
        <v>48</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110</v>
      </c>
      <c r="BU129" s="159">
        <f ca="1">TblImps[[#This Row],[Time]]</f>
        <v>46106.95833333303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90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90</v>
      </c>
      <c r="DH129" s="45">
        <f t="shared" ca="1" si="22"/>
        <v>0</v>
      </c>
      <c r="DI129" s="45">
        <f t="shared" ca="1" si="19"/>
        <v>0</v>
      </c>
      <c r="DJ129" s="45">
        <f t="shared" ca="1" si="20"/>
        <v>0</v>
      </c>
    </row>
    <row r="130" spans="1:114" x14ac:dyDescent="0.2">
      <c r="A130" s="175">
        <f>TblRezone[[#This Row],[Hour]]</f>
        <v>127</v>
      </c>
      <c r="B130" s="176">
        <f ca="1">SUM(TblConstr[[#This Row],[Plain]:[Water]])</f>
        <v>60</v>
      </c>
      <c r="C130" s="177">
        <f ca="1">SUM(TblConstr[[#This Row],[Tot Hom]:[Tot Doc]])</f>
        <v>50</v>
      </c>
      <c r="D130" s="177">
        <f t="shared" si="21"/>
        <v>0</v>
      </c>
      <c r="E130" s="178"/>
      <c r="F130" s="61">
        <f ca="1">TblConstr[[#This Row],[Barren]]+TblConstr[[#This Row],[Buildings]]+TblConstr[[#This Row],[Incoming]]</f>
        <v>110</v>
      </c>
      <c r="G130" s="187">
        <f ca="1">OFFSET(TblConstr[[#This Row],[Plain]],-1,0)+TblConstr[[#This Row],[Ch_Plain]]</f>
        <v>60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46106.999999999694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223635</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0" s="94">
        <f ca="1">ROUNDDOWN( MAX(1 - MIN(facs_constr_factor*TblConstr[[#This Row],[Facs -DB]],facs_constr_max) + tech_1_11*TblTech[[#This Row],[11-1]] + tech_6_3_2*TblTech[[#This Row],[6-3]] + tech_5_2_3*TblTech[[#This Row],[5-2]], 1-global_constr_cap) * TblConstr[[#This Row],[RCPA Lumber]],0)</f>
        <v>48</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0" s="94">
        <f ca="1">ROUNDDOWN( MAX(1 - MIN(facs_constr_factor*TblConstr[[#This Row],[Facs DB]],facs_constr_max) + tech_1_11*TblTech[[#This Row],[1-11]] + tech_6_3_2*TblTech[[#This Row],[6-3]] + tech_5_2_3*TblTech[[#This Row],[5-2]], 1-global_constr_cap) * ROUND((TblConstr[[#This Row],[Land]]-250)*0.285 + 87.5 + 0/4.25,0),0)</f>
        <v>48</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675</v>
      </c>
      <c r="AW130" s="94">
        <f ca="1">ROUND((TblConstr[[#This Row],[Land]]-250 - IF(TblExplore[[#This Row],[Land Bonus]]&lt;&gt;0,20,0))*0.285 + 87.5 + 0/4.25,0)</f>
        <v>48</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110</v>
      </c>
      <c r="BU130" s="159">
        <f ca="1">TblImps[[#This Row],[Time]]</f>
        <v>46106.999999999694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90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90</v>
      </c>
      <c r="DH130" s="45">
        <f t="shared" ca="1" si="22"/>
        <v>0</v>
      </c>
      <c r="DI130" s="45">
        <f t="shared" ca="1" si="19"/>
        <v>0</v>
      </c>
      <c r="DJ130" s="45">
        <f t="shared" ca="1" si="20"/>
        <v>0</v>
      </c>
    </row>
    <row r="131" spans="1:114" x14ac:dyDescent="0.2">
      <c r="A131" s="175">
        <f>TblRezone[[#This Row],[Hour]]</f>
        <v>128</v>
      </c>
      <c r="B131" s="176">
        <f ca="1">SUM(TblConstr[[#This Row],[Plain]:[Water]])</f>
        <v>60</v>
      </c>
      <c r="C131" s="177">
        <f ca="1">SUM(TblConstr[[#This Row],[Tot Hom]:[Tot Doc]])</f>
        <v>50</v>
      </c>
      <c r="D131" s="177">
        <f t="shared" si="21"/>
        <v>0</v>
      </c>
      <c r="E131" s="178"/>
      <c r="F131" s="61">
        <f ca="1">TblConstr[[#This Row],[Barren]]+TblConstr[[#This Row],[Buildings]]+TblConstr[[#This Row],[Incoming]]</f>
        <v>110</v>
      </c>
      <c r="G131" s="187">
        <f ca="1">OFFSET(TblConstr[[#This Row],[Plain]],-1,0)+TblConstr[[#This Row],[Ch_Plain]]</f>
        <v>60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46107.041666666359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224401</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1" s="94">
        <f ca="1">ROUNDDOWN( MAX(1 - MIN(facs_constr_factor*TblConstr[[#This Row],[Facs -DB]],facs_constr_max) + tech_1_11*TblTech[[#This Row],[11-1]] + tech_6_3_2*TblTech[[#This Row],[6-3]] + tech_5_2_3*TblTech[[#This Row],[5-2]], 1-global_constr_cap) * TblConstr[[#This Row],[RCPA Lumber]],0)</f>
        <v>48</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1" s="94">
        <f ca="1">ROUNDDOWN( MAX(1 - MIN(facs_constr_factor*TblConstr[[#This Row],[Facs DB]],facs_constr_max) + tech_1_11*TblTech[[#This Row],[1-11]] + tech_6_3_2*TblTech[[#This Row],[6-3]] + tech_5_2_3*TblTech[[#This Row],[5-2]], 1-global_constr_cap) * ROUND((TblConstr[[#This Row],[Land]]-250)*0.285 + 87.5 + 0/4.25,0),0)</f>
        <v>48</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675</v>
      </c>
      <c r="AW131" s="94">
        <f ca="1">ROUND((TblConstr[[#This Row],[Land]]-250 - IF(TblExplore[[#This Row],[Land Bonus]]&lt;&gt;0,20,0))*0.285 + 87.5 + 0/4.25,0)</f>
        <v>48</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110</v>
      </c>
      <c r="BU131" s="159">
        <f ca="1">TblImps[[#This Row],[Time]]</f>
        <v>46107.041666666359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90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90</v>
      </c>
      <c r="DH131" s="45">
        <f t="shared" ca="1" si="22"/>
        <v>0</v>
      </c>
      <c r="DI131" s="45">
        <f t="shared" ca="1" si="19"/>
        <v>0</v>
      </c>
      <c r="DJ131" s="45">
        <f t="shared" ca="1" si="20"/>
        <v>0</v>
      </c>
    </row>
    <row r="132" spans="1:114" x14ac:dyDescent="0.2">
      <c r="A132" s="175">
        <f>TblRezone[[#This Row],[Hour]]</f>
        <v>129</v>
      </c>
      <c r="B132" s="176">
        <f ca="1">SUM(TblConstr[[#This Row],[Plain]:[Water]])</f>
        <v>60</v>
      </c>
      <c r="C132" s="177">
        <f ca="1">SUM(TblConstr[[#This Row],[Tot Hom]:[Tot Doc]])</f>
        <v>50</v>
      </c>
      <c r="D132" s="177">
        <f>SUM(O121:AG132)</f>
        <v>0</v>
      </c>
      <c r="E132" s="178"/>
      <c r="F132" s="61">
        <f ca="1">TblConstr[[#This Row],[Barren]]+TblConstr[[#This Row],[Buildings]]+TblConstr[[#This Row],[Incoming]]</f>
        <v>110</v>
      </c>
      <c r="G132" s="187">
        <f ca="1">OFFSET(TblConstr[[#This Row],[Plain]],-1,0)+TblConstr[[#This Row],[Ch_Plain]]</f>
        <v>60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46107.083333333023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225159</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2" s="94">
        <f ca="1">ROUNDDOWN( MAX(1 - MIN(facs_constr_factor*TblConstr[[#This Row],[Facs -DB]],facs_constr_max) + tech_1_11*TblTech[[#This Row],[11-1]] + tech_6_3_2*TblTech[[#This Row],[6-3]] + tech_5_2_3*TblTech[[#This Row],[5-2]], 1-global_constr_cap) * TblConstr[[#This Row],[RCPA Lumber]],0)</f>
        <v>48</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2" s="94">
        <f ca="1">ROUNDDOWN( MAX(1 - MIN(facs_constr_factor*TblConstr[[#This Row],[Facs DB]],facs_constr_max) + tech_1_11*TblTech[[#This Row],[1-11]] + tech_6_3_2*TblTech[[#This Row],[6-3]] + tech_5_2_3*TblTech[[#This Row],[5-2]], 1-global_constr_cap) * ROUND((TblConstr[[#This Row],[Land]]-250)*0.285 + 87.5 + 0/4.25,0),0)</f>
        <v>48</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675</v>
      </c>
      <c r="AW132" s="94">
        <f ca="1">ROUND((TblConstr[[#This Row],[Land]]-250 - IF(TblExplore[[#This Row],[Land Bonus]]&lt;&gt;0,20,0))*0.285 + 87.5 + 0/4.25,0)</f>
        <v>48</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110</v>
      </c>
      <c r="BU132" s="159">
        <f ca="1">TblImps[[#This Row],[Time]]</f>
        <v>46107.083333333023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90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90</v>
      </c>
      <c r="DH132" s="45">
        <f ca="1">SUM(O121:O132)+AY132</f>
        <v>0</v>
      </c>
      <c r="DI132" s="45">
        <f ca="1">MAX(BA132-BA131,0)</f>
        <v>0</v>
      </c>
      <c r="DJ132" s="45">
        <f ca="1">MAX(BQ132-BQ131,0)</f>
        <v>0</v>
      </c>
    </row>
    <row r="133" spans="1:114" x14ac:dyDescent="0.2">
      <c r="A133" s="175">
        <f>TblRezone[[#This Row],[Hour]]</f>
        <v>130</v>
      </c>
      <c r="B133" s="176">
        <f ca="1">SUM(TblConstr[[#This Row],[Plain]:[Water]])</f>
        <v>60</v>
      </c>
      <c r="C133" s="177">
        <f ca="1">SUM(TblConstr[[#This Row],[Tot Hom]:[Tot Doc]])</f>
        <v>50</v>
      </c>
      <c r="D133" s="177">
        <f>SUM(O122:AG133)</f>
        <v>0</v>
      </c>
      <c r="E133" s="178"/>
      <c r="F133" s="61">
        <f ca="1">TblConstr[[#This Row],[Barren]]+TblConstr[[#This Row],[Buildings]]+TblConstr[[#This Row],[Incoming]]</f>
        <v>110</v>
      </c>
      <c r="G133" s="187">
        <f ca="1">OFFSET(TblConstr[[#This Row],[Plain]],-1,0)+TblConstr[[#This Row],[Ch_Plain]]</f>
        <v>60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46107.124999999687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225909</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3" s="94">
        <f ca="1">ROUNDDOWN( MAX(1 - MIN(facs_constr_factor*TblConstr[[#This Row],[Facs -DB]],facs_constr_max) + tech_1_11*TblTech[[#This Row],[11-1]] + tech_6_3_2*TblTech[[#This Row],[6-3]] + tech_5_2_3*TblTech[[#This Row],[5-2]], 1-global_constr_cap) * TblConstr[[#This Row],[RCPA Lumber]],0)</f>
        <v>48</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3" s="94">
        <f ca="1">ROUNDDOWN( MAX(1 - MIN(facs_constr_factor*TblConstr[[#This Row],[Facs DB]],facs_constr_max) + tech_1_11*TblTech[[#This Row],[1-11]] + tech_6_3_2*TblTech[[#This Row],[6-3]] + tech_5_2_3*TblTech[[#This Row],[5-2]], 1-global_constr_cap) * ROUND((TblConstr[[#This Row],[Land]]-250)*0.285 + 87.5 + 0/4.25,0),0)</f>
        <v>48</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675</v>
      </c>
      <c r="AW133" s="94">
        <f ca="1">ROUND((TblConstr[[#This Row],[Land]]-250 - IF(TblExplore[[#This Row],[Land Bonus]]&lt;&gt;0,20,0))*0.285 + 87.5 + 0/4.25,0)</f>
        <v>48</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110</v>
      </c>
      <c r="BU133" s="159">
        <f ca="1">TblImps[[#This Row],[Time]]</f>
        <v>46107.124999999687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90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90</v>
      </c>
      <c r="DH133" s="45">
        <f ca="1">SUM(O122:O133)+AY133</f>
        <v>0</v>
      </c>
      <c r="DI133" s="45">
        <f t="shared" ca="1" si="19"/>
        <v>0</v>
      </c>
      <c r="DJ133" s="45">
        <f t="shared" ca="1" si="20"/>
        <v>0</v>
      </c>
    </row>
    <row r="134" spans="1:114" x14ac:dyDescent="0.2">
      <c r="A134" s="175">
        <f>TblRezone[[#This Row],[Hour]]</f>
        <v>131</v>
      </c>
      <c r="B134" s="176">
        <f ca="1">SUM(TblConstr[[#This Row],[Plain]:[Water]])</f>
        <v>60</v>
      </c>
      <c r="C134" s="177">
        <f ca="1">SUM(TblConstr[[#This Row],[Tot Hom]:[Tot Doc]])</f>
        <v>50</v>
      </c>
      <c r="D134" s="177">
        <f>SUM(O123:AG134)</f>
        <v>0</v>
      </c>
      <c r="E134" s="178"/>
      <c r="F134" s="61">
        <f ca="1">TblConstr[[#This Row],[Barren]]+TblConstr[[#This Row],[Buildings]]+TblConstr[[#This Row],[Incoming]]</f>
        <v>110</v>
      </c>
      <c r="G134" s="187">
        <f ca="1">OFFSET(TblConstr[[#This Row],[Plain]],-1,0)+TblConstr[[#This Row],[Ch_Plain]]</f>
        <v>60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46107.166666666351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226651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4" s="94">
        <f ca="1">ROUNDDOWN( MAX(1 - MIN(facs_constr_factor*TblConstr[[#This Row],[Facs -DB]],facs_constr_max) + tech_1_11*TblTech[[#This Row],[11-1]] + tech_6_3_2*TblTech[[#This Row],[6-3]] + tech_5_2_3*TblTech[[#This Row],[5-2]], 1-global_constr_cap) * TblConstr[[#This Row],[RCPA Lumber]],0)</f>
        <v>48</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4" s="94">
        <f ca="1">ROUNDDOWN( MAX(1 - MIN(facs_constr_factor*TblConstr[[#This Row],[Facs DB]],facs_constr_max) + tech_1_11*TblTech[[#This Row],[1-11]] + tech_6_3_2*TblTech[[#This Row],[6-3]] + tech_5_2_3*TblTech[[#This Row],[5-2]], 1-global_constr_cap) * ROUND((TblConstr[[#This Row],[Land]]-250)*0.285 + 87.5 + 0/4.25,0),0)</f>
        <v>48</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675</v>
      </c>
      <c r="AW134" s="94">
        <f ca="1">ROUND((TblConstr[[#This Row],[Land]]-250 - IF(TblExplore[[#This Row],[Land Bonus]]&lt;&gt;0,20,0))*0.285 + 87.5 + 0/4.25,0)</f>
        <v>48</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110</v>
      </c>
      <c r="BU134" s="159">
        <f ca="1">TblImps[[#This Row],[Time]]</f>
        <v>46107.166666666351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90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90</v>
      </c>
      <c r="DH134" s="45">
        <f ca="1">SUM(O123:O134)+AY134</f>
        <v>0</v>
      </c>
      <c r="DI134" s="45">
        <f ca="1">MAX(BA134-BA133,0)</f>
        <v>0</v>
      </c>
      <c r="DJ134" s="45">
        <f ca="1">MAX(BQ134-BQ133,0)</f>
        <v>0</v>
      </c>
    </row>
    <row r="135" spans="1:114" x14ac:dyDescent="0.2">
      <c r="A135" s="175">
        <f>TblRezone[[#This Row],[Hour]]</f>
        <v>132</v>
      </c>
      <c r="B135" s="176">
        <f ca="1">SUM(TblConstr[[#This Row],[Plain]:[Water]])</f>
        <v>60</v>
      </c>
      <c r="C135" s="177">
        <f ca="1">SUM(TblConstr[[#This Row],[Tot Hom]:[Tot Doc]])</f>
        <v>50</v>
      </c>
      <c r="D135" s="177">
        <f>SUM(O124:AG135)</f>
        <v>0</v>
      </c>
      <c r="E135" s="178"/>
      <c r="F135" s="61">
        <f ca="1">TblConstr[[#This Row],[Barren]]+TblConstr[[#This Row],[Buildings]]+TblConstr[[#This Row],[Incoming]]</f>
        <v>110</v>
      </c>
      <c r="G135" s="187">
        <f ca="1">OFFSET(TblConstr[[#This Row],[Plain]],-1,0)+TblConstr[[#This Row],[Ch_Plain]]</f>
        <v>60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46107.208333333016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227385</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5" s="94">
        <f ca="1">ROUNDDOWN( MAX(1 - MIN(facs_constr_factor*TblConstr[[#This Row],[Facs -DB]],facs_constr_max) + tech_1_11*TblTech[[#This Row],[11-1]] + tech_6_3_2*TblTech[[#This Row],[6-3]] + tech_5_2_3*TblTech[[#This Row],[5-2]], 1-global_constr_cap) * TblConstr[[#This Row],[RCPA Lumber]],0)</f>
        <v>48</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5" s="94">
        <f ca="1">ROUNDDOWN( MAX(1 - MIN(facs_constr_factor*TblConstr[[#This Row],[Facs DB]],facs_constr_max) + tech_1_11*TblTech[[#This Row],[1-11]] + tech_6_3_2*TblTech[[#This Row],[6-3]] + tech_5_2_3*TblTech[[#This Row],[5-2]], 1-global_constr_cap) * ROUND((TblConstr[[#This Row],[Land]]-250)*0.285 + 87.5 + 0/4.25,0),0)</f>
        <v>48</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675</v>
      </c>
      <c r="AW135" s="94">
        <f ca="1">ROUND((TblConstr[[#This Row],[Land]]-250 - IF(TblExplore[[#This Row],[Land Bonus]]&lt;&gt;0,20,0))*0.285 + 87.5 + 0/4.25,0)</f>
        <v>48</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110</v>
      </c>
      <c r="BU135" s="159">
        <f ca="1">TblImps[[#This Row],[Time]]</f>
        <v>46107.208333333016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90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90</v>
      </c>
      <c r="DH135" s="45">
        <f ca="1">SUM(O124:O135)+AY135</f>
        <v>0</v>
      </c>
      <c r="DI135" s="45">
        <f ca="1">MAX(BA135-BA134,0)</f>
        <v>0</v>
      </c>
      <c r="DJ135" s="45">
        <f ca="1">MAX(BQ135-BQ134,0)</f>
        <v>0</v>
      </c>
    </row>
    <row r="136" spans="1:114" x14ac:dyDescent="0.2">
      <c r="A136" s="175">
        <f>TblRezone[[#This Row],[Hour]]</f>
        <v>133</v>
      </c>
      <c r="B136" s="176">
        <f ca="1">SUM(TblConstr[[#This Row],[Plain]:[Water]])</f>
        <v>60</v>
      </c>
      <c r="C136" s="177">
        <f ca="1">SUM(TblConstr[[#This Row],[Tot Hom]:[Tot Doc]])</f>
        <v>50</v>
      </c>
      <c r="D136" s="177">
        <f>SUM(O125:AG136)</f>
        <v>0</v>
      </c>
      <c r="E136" s="178"/>
      <c r="F136" s="61">
        <f ca="1">TblConstr[[#This Row],[Barren]]+TblConstr[[#This Row],[Buildings]]+TblConstr[[#This Row],[Incoming]]</f>
        <v>110</v>
      </c>
      <c r="G136" s="187">
        <f ca="1">OFFSET(TblConstr[[#This Row],[Plain]],-1,0)+TblConstr[[#This Row],[Ch_Plain]]</f>
        <v>60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46107.24999999968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228111</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6" s="94">
        <f ca="1">ROUNDDOWN( MAX(1 - MIN(facs_constr_factor*TblConstr[[#This Row],[Facs -DB]],facs_constr_max) + tech_1_11*TblTech[[#This Row],[11-1]] + tech_6_3_2*TblTech[[#This Row],[6-3]] + tech_5_2_3*TblTech[[#This Row],[5-2]], 1-global_constr_cap) * TblConstr[[#This Row],[RCPA Lumber]],0)</f>
        <v>48</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6" s="94">
        <f ca="1">ROUNDDOWN( MAX(1 - MIN(facs_constr_factor*TblConstr[[#This Row],[Facs DB]],facs_constr_max) + tech_1_11*TblTech[[#This Row],[1-11]] + tech_6_3_2*TblTech[[#This Row],[6-3]] + tech_5_2_3*TblTech[[#This Row],[5-2]], 1-global_constr_cap) * ROUND((TblConstr[[#This Row],[Land]]-250)*0.285 + 87.5 + 0/4.25,0),0)</f>
        <v>48</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675</v>
      </c>
      <c r="AW136" s="94">
        <f ca="1">ROUND((TblConstr[[#This Row],[Land]]-250 - IF(TblExplore[[#This Row],[Land Bonus]]&lt;&gt;0,20,0))*0.285 + 87.5 + 0/4.25,0)</f>
        <v>48</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110</v>
      </c>
      <c r="BU136" s="159">
        <f ca="1">TblImps[[#This Row],[Time]]</f>
        <v>46107.24999999968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90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90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69" priority="73" stopIfTrue="1">
      <formula>XEZ137&lt;0</formula>
    </cfRule>
  </conditionalFormatting>
  <conditionalFormatting sqref="A137:D1268 A1271:D65537 F1271:H65537 F137:H1268">
    <cfRule type="expression" dxfId="68" priority="74" stopIfTrue="1">
      <formula>XEV137&lt;0</formula>
    </cfRule>
  </conditionalFormatting>
  <conditionalFormatting sqref="E1271:E65537 E137:E1268">
    <cfRule type="expression" dxfId="67" priority="75" stopIfTrue="1">
      <formula>XEU137&lt;0</formula>
    </cfRule>
  </conditionalFormatting>
  <conditionalFormatting sqref="DI1271:DJ52023 O1271:AG52052 O137:AG1268 BV1271:DH52052 BV137:DJ1268">
    <cfRule type="expression" dxfId="66" priority="76" stopIfTrue="1">
      <formula>ROW()-2=#REF!</formula>
    </cfRule>
  </conditionalFormatting>
  <conditionalFormatting sqref="A1269:AG1270 BV1269:DJ1270">
    <cfRule type="expression" dxfId="65" priority="77" stopIfTrue="1">
      <formula>$A$1270&gt;144</formula>
    </cfRule>
  </conditionalFormatting>
  <conditionalFormatting sqref="K1271:L65537 K137:L1268">
    <cfRule type="expression" dxfId="64" priority="95" stopIfTrue="1">
      <formula>A137&lt;0</formula>
    </cfRule>
  </conditionalFormatting>
  <conditionalFormatting sqref="AY4:BQ136">
    <cfRule type="expression" dxfId="63" priority="7" stopIfTrue="1">
      <formula>OR(AY4&lt;0,ROW()-3=$A$1270)</formula>
    </cfRule>
  </conditionalFormatting>
  <conditionalFormatting sqref="I1271:J65537 I137:J1268">
    <cfRule type="expression" dxfId="62" priority="98" stopIfTrue="1">
      <formula>A137&lt;0</formula>
    </cfRule>
  </conditionalFormatting>
  <conditionalFormatting sqref="A4:DJ35 A36:O38 Q36:W38 A39:W39 Y36:DJ39 A40:DJ52 A60:DJ136 A53:Q59 S53:X59 Z53:DJ59">
    <cfRule type="expression" dxfId="61" priority="13" stopIfTrue="1">
      <formula>ROW()-3=$A$1270</formula>
    </cfRule>
    <cfRule type="expression" dxfId="60" priority="136">
      <formula>$A4=37</formula>
    </cfRule>
    <cfRule type="expression" dxfId="59" priority="137">
      <formula>ROUND(($A4-1)/12,0)=INT($A4-1)/12</formula>
    </cfRule>
  </conditionalFormatting>
  <conditionalFormatting sqref="A1:XFD3">
    <cfRule type="expression" dxfId="58" priority="138">
      <formula>$A$1270&lt;0</formula>
    </cfRule>
  </conditionalFormatting>
  <conditionalFormatting sqref="P36:P38">
    <cfRule type="expression" dxfId="57" priority="4" stopIfTrue="1">
      <formula>ROW()-3=$B$1270</formula>
    </cfRule>
  </conditionalFormatting>
  <conditionalFormatting sqref="P36:P38">
    <cfRule type="expression" dxfId="56" priority="5">
      <formula>$A36=37</formula>
    </cfRule>
    <cfRule type="expression" dxfId="55" priority="6">
      <formula>ROUND(($A36-1)/12,0)=INT($A36-1)/12</formula>
    </cfRule>
  </conditionalFormatting>
  <conditionalFormatting sqref="X36:X39">
    <cfRule type="expression" dxfId="54" priority="1" stopIfTrue="1">
      <formula>ROW()-3=$B$1270</formula>
    </cfRule>
  </conditionalFormatting>
  <conditionalFormatting sqref="X36:X39">
    <cfRule type="expression" dxfId="53" priority="2">
      <formula>$A36=37</formula>
    </cfRule>
    <cfRule type="expression" dxfId="52"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15 AT4:AT59 AS77:AS136 AT77:AT136 AY4:AZ4 BB4:BC4 BE4:BQ4 G4:M4 AS16:AS59"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46101.75</v>
      </c>
      <c r="AB4" s="94">
        <f ca="1">TblMili[[#This Row],[Draftees]]</f>
        <v>150</v>
      </c>
      <c r="AC4" s="94">
        <f ca="1">TblProd[[#This Row],[Platinum]]</f>
        <v>50000</v>
      </c>
      <c r="AD4" s="215"/>
      <c r="AE4" s="45">
        <f ca="1">TblExplore[[#This Row],[Land]]-TblExplore[[#This Row],[Land Bonus]]*20</f>
        <v>50</v>
      </c>
      <c r="AF4" s="94">
        <f ca="1">ROUND((0.6*TblExplore[[#This Row],[Land-DB]]^1.299 + IF(TblExplore[[#This Row],[Land-DB]]&lt;1520, (-0.001*(TblExplore[[#This Row],[Land-DB]]^2)+1.91*TblExplore[[#This Row],[Land-DB]]-593), 0))*(1+ tech_2_6*Techs!AC4 + tech_2_9*Techs!AF4 + tech_3_7*Techs!AN4 + Overview!$I$33),0)</f>
        <v>-403</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-125</v>
      </c>
    </row>
    <row r="5" spans="1:36" hidden="1"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46101.791666666664</v>
      </c>
      <c r="AB5" s="94">
        <f ca="1">TblMili[[#This Row],[Draftees]]</f>
        <v>155</v>
      </c>
      <c r="AC5" s="94">
        <f ca="1">TblProd[[#This Row],[Platinum]]</f>
        <v>51266</v>
      </c>
      <c r="AD5" s="215"/>
      <c r="AE5" s="45">
        <f ca="1">TblExplore[[#This Row],[Land]]-TblExplore[[#This Row],[Land Bonus]]*20</f>
        <v>50</v>
      </c>
      <c r="AF5" s="94">
        <f ca="1">ROUND((0.6*TblExplore[[#This Row],[Land-DB]]^1.299 + IF(TblExplore[[#This Row],[Land-DB]]&lt;1520, (-0.001*(TblExplore[[#This Row],[Land-DB]]^2)+1.91*TblExplore[[#This Row],[Land-DB]]-593), 0))*(1+ tech_2_6*Techs!AC5 + tech_2_9*Techs!AF5 + tech_3_7*Techs!AN5 + Overview!$I$33),0)</f>
        <v>-403</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-128</v>
      </c>
    </row>
    <row r="6" spans="1:36" hidden="1"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46101.833333333328</v>
      </c>
      <c r="AB6" s="94">
        <f ca="1">TblMili[[#This Row],[Draftees]]</f>
        <v>160</v>
      </c>
      <c r="AC6" s="94">
        <f ca="1">TblProd[[#This Row],[Platinum]]</f>
        <v>52556</v>
      </c>
      <c r="AD6" s="215"/>
      <c r="AE6" s="45">
        <f ca="1">TblExplore[[#This Row],[Land]]-TblExplore[[#This Row],[Land Bonus]]*20</f>
        <v>50</v>
      </c>
      <c r="AF6" s="94">
        <f ca="1">ROUND((0.6*TblExplore[[#This Row],[Land-DB]]^1.299 + IF(TblExplore[[#This Row],[Land-DB]]&lt;1520, (-0.001*(TblExplore[[#This Row],[Land-DB]]^2)+1.91*TblExplore[[#This Row],[Land-DB]]-593), 0))*(1+ tech_2_6*Techs!AC6 + tech_2_9*Techs!AF6 + tech_3_7*Techs!AN6 + Overview!$I$33),0)</f>
        <v>-403</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-131</v>
      </c>
    </row>
    <row r="7" spans="1:36" hidden="1"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46101.874999999993</v>
      </c>
      <c r="AB7" s="94">
        <f ca="1">TblMili[[#This Row],[Draftees]]</f>
        <v>165</v>
      </c>
      <c r="AC7" s="94">
        <f ca="1">TblProd[[#This Row],[Platinum]]</f>
        <v>53870</v>
      </c>
      <c r="AD7" s="215"/>
      <c r="AE7" s="45">
        <f ca="1">TblExplore[[#This Row],[Land]]-TblExplore[[#This Row],[Land Bonus]]*20</f>
        <v>50</v>
      </c>
      <c r="AF7" s="94">
        <f ca="1">ROUND((0.6*TblExplore[[#This Row],[Land-DB]]^1.299 + IF(TblExplore[[#This Row],[Land-DB]]&lt;1520, (-0.001*(TblExplore[[#This Row],[Land-DB]]^2)+1.91*TblExplore[[#This Row],[Land-DB]]-593), 0))*(1+ tech_2_6*Techs!AC7 + tech_2_9*Techs!AF7 + tech_3_7*Techs!AN7 + Overview!$I$33),0)</f>
        <v>-403</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-134</v>
      </c>
    </row>
    <row r="8" spans="1:36" hidden="1"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46101.916666666657</v>
      </c>
      <c r="AB8" s="94">
        <f ca="1">TblMili[[#This Row],[Draftees]]</f>
        <v>170</v>
      </c>
      <c r="AC8" s="94">
        <f ca="1">TblProd[[#This Row],[Platinum]]</f>
        <v>55209</v>
      </c>
      <c r="AD8" s="215"/>
      <c r="AE8" s="45">
        <f ca="1">TblExplore[[#This Row],[Land]]-TblExplore[[#This Row],[Land Bonus]]*20</f>
        <v>50</v>
      </c>
      <c r="AF8" s="94">
        <f ca="1">ROUND((0.6*TblExplore[[#This Row],[Land-DB]]^1.299 + IF(TblExplore[[#This Row],[Land-DB]]&lt;1520, (-0.001*(TblExplore[[#This Row],[Land-DB]]^2)+1.91*TblExplore[[#This Row],[Land-DB]]-593), 0))*(1+ tech_2_6*Techs!AC8 + tech_2_9*Techs!AF8 + tech_3_7*Techs!AN8 + Overview!$I$33),0)</f>
        <v>-403</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-137</v>
      </c>
    </row>
    <row r="9" spans="1:36" hidden="1"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46101.958333333321</v>
      </c>
      <c r="AB9" s="94">
        <f ca="1">TblMili[[#This Row],[Draftees]]</f>
        <v>175</v>
      </c>
      <c r="AC9" s="94">
        <f ca="1">TblProd[[#This Row],[Platinum]]</f>
        <v>56575</v>
      </c>
      <c r="AD9" s="215"/>
      <c r="AE9" s="45">
        <f ca="1">TblExplore[[#This Row],[Land]]-TblExplore[[#This Row],[Land Bonus]]*20</f>
        <v>50</v>
      </c>
      <c r="AF9" s="94">
        <f ca="1">ROUND((0.6*TblExplore[[#This Row],[Land-DB]]^1.299 + IF(TblExplore[[#This Row],[Land-DB]]&lt;1520, (-0.001*(TblExplore[[#This Row],[Land-DB]]^2)+1.91*TblExplore[[#This Row],[Land-DB]]-593), 0))*(1+ tech_2_6*Techs!AC9 + tech_2_9*Techs!AF9 + tech_3_7*Techs!AN9 + Overview!$I$33),0)</f>
        <v>-403</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-141</v>
      </c>
    </row>
    <row r="10" spans="1:36" hidden="1"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46101.999999999985</v>
      </c>
      <c r="AB10" s="94">
        <f ca="1">TblMili[[#This Row],[Draftees]]</f>
        <v>180</v>
      </c>
      <c r="AC10" s="94">
        <f ca="1">TblProd[[#This Row],[Platinum]]</f>
        <v>57968</v>
      </c>
      <c r="AD10" s="215"/>
      <c r="AE10" s="45">
        <f ca="1">TblExplore[[#This Row],[Land]]-TblExplore[[#This Row],[Land Bonus]]*20</f>
        <v>50</v>
      </c>
      <c r="AF10" s="94">
        <f ca="1">ROUND((0.6*TblExplore[[#This Row],[Land-DB]]^1.299 + IF(TblExplore[[#This Row],[Land-DB]]&lt;1520, (-0.001*(TblExplore[[#This Row],[Land-DB]]^2)+1.91*TblExplore[[#This Row],[Land-DB]]-593), 0))*(1+ tech_2_6*Techs!AC10 + tech_2_9*Techs!AF10 + tech_3_7*Techs!AN10 + Overview!$I$33),0)</f>
        <v>-403</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-144</v>
      </c>
    </row>
    <row r="11" spans="1:36" hidden="1"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46102.04166666665</v>
      </c>
      <c r="AB11" s="94">
        <f ca="1">TblMili[[#This Row],[Draftees]]</f>
        <v>185</v>
      </c>
      <c r="AC11" s="94">
        <f ca="1">TblProd[[#This Row],[Platinum]]</f>
        <v>59388</v>
      </c>
      <c r="AD11" s="215"/>
      <c r="AE11" s="45">
        <f ca="1">TblExplore[[#This Row],[Land]]-TblExplore[[#This Row],[Land Bonus]]*20</f>
        <v>50</v>
      </c>
      <c r="AF11" s="94">
        <f ca="1">ROUND((0.6*TblExplore[[#This Row],[Land-DB]]^1.299 + IF(TblExplore[[#This Row],[Land-DB]]&lt;1520, (-0.001*(TblExplore[[#This Row],[Land-DB]]^2)+1.91*TblExplore[[#This Row],[Land-DB]]-593), 0))*(1+ tech_2_6*Techs!AC11 + tech_2_9*Techs!AF11 + tech_3_7*Techs!AN11 + Overview!$I$33),0)</f>
        <v>-403</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-148</v>
      </c>
    </row>
    <row r="12" spans="1:36" hidden="1"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46102.083333333314</v>
      </c>
      <c r="AB12" s="94">
        <f ca="1">TblMili[[#This Row],[Draftees]]</f>
        <v>190</v>
      </c>
      <c r="AC12" s="94">
        <f ca="1">TblProd[[#This Row],[Platinum]]</f>
        <v>60837</v>
      </c>
      <c r="AD12" s="215"/>
      <c r="AE12" s="45">
        <f ca="1">TblExplore[[#This Row],[Land]]-TblExplore[[#This Row],[Land Bonus]]*20</f>
        <v>50</v>
      </c>
      <c r="AF12" s="94">
        <f ca="1">ROUND((0.6*TblExplore[[#This Row],[Land-DB]]^1.299 + IF(TblExplore[[#This Row],[Land-DB]]&lt;1520, (-0.001*(TblExplore[[#This Row],[Land-DB]]^2)+1.91*TblExplore[[#This Row],[Land-DB]]-593), 0))*(1+ tech_2_6*Techs!AC12 + tech_2_9*Techs!AF12 + tech_3_7*Techs!AN12 + Overview!$I$33),0)</f>
        <v>-403</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-151</v>
      </c>
    </row>
    <row r="13" spans="1:36" hidden="1"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46102.124999999978</v>
      </c>
      <c r="AB13" s="94">
        <f ca="1">TblMili[[#This Row],[Draftees]]</f>
        <v>195</v>
      </c>
      <c r="AC13" s="94">
        <f ca="1">TblProd[[#This Row],[Platinum]]</f>
        <v>62316</v>
      </c>
      <c r="AD13" s="215"/>
      <c r="AE13" s="45">
        <f ca="1">TblExplore[[#This Row],[Land]]-TblExplore[[#This Row],[Land Bonus]]*20</f>
        <v>50</v>
      </c>
      <c r="AF13" s="94">
        <f ca="1">ROUND((0.6*TblExplore[[#This Row],[Land-DB]]^1.299 + IF(TblExplore[[#This Row],[Land-DB]]&lt;1520, (-0.001*(TblExplore[[#This Row],[Land-DB]]^2)+1.91*TblExplore[[#This Row],[Land-DB]]-593), 0))*(1+ tech_2_6*Techs!AC13 + tech_2_9*Techs!AF13 + tech_3_7*Techs!AN13 + Overview!$I$33),0)</f>
        <v>-403</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-155</v>
      </c>
    </row>
    <row r="14" spans="1:36" hidden="1"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46102.166666666642</v>
      </c>
      <c r="AB14" s="94">
        <f ca="1">TblMili[[#This Row],[Draftees]]</f>
        <v>201</v>
      </c>
      <c r="AC14" s="94">
        <f ca="1">TblProd[[#This Row],[Platinum]]</f>
        <v>63825</v>
      </c>
      <c r="AD14" s="215"/>
      <c r="AE14" s="45">
        <f ca="1">TblExplore[[#This Row],[Land]]-TblExplore[[#This Row],[Land Bonus]]*20</f>
        <v>50</v>
      </c>
      <c r="AF14" s="94">
        <f ca="1">ROUND((0.6*TblExplore[[#This Row],[Land-DB]]^1.299 + IF(TblExplore[[#This Row],[Land-DB]]&lt;1520, (-0.001*(TblExplore[[#This Row],[Land-DB]]^2)+1.91*TblExplore[[#This Row],[Land-DB]]-593), 0))*(1+ tech_2_6*Techs!AC14 + tech_2_9*Techs!AF14 + tech_3_7*Techs!AN14 + Overview!$I$33),0)</f>
        <v>-403</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-159</v>
      </c>
    </row>
    <row r="15" spans="1:36" hidden="1"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46102.208333333307</v>
      </c>
      <c r="AB15" s="94">
        <f ca="1">TblMili[[#This Row],[Draftees]]</f>
        <v>207</v>
      </c>
      <c r="AC15" s="94">
        <f ca="1">TblProd[[#This Row],[Platinum]]</f>
        <v>65358</v>
      </c>
      <c r="AD15" s="215"/>
      <c r="AE15" s="45">
        <f ca="1">TblExplore[[#This Row],[Land]]-TblExplore[[#This Row],[Land Bonus]]*20</f>
        <v>50</v>
      </c>
      <c r="AF15" s="94">
        <f ca="1">ROUND((0.6*TblExplore[[#This Row],[Land-DB]]^1.299 + IF(TblExplore[[#This Row],[Land-DB]]&lt;1520, (-0.001*(TblExplore[[#This Row],[Land-DB]]^2)+1.91*TblExplore[[#This Row],[Land-DB]]-593), 0))*(1+ tech_2_6*Techs!AC15 + tech_2_9*Techs!AF15 + tech_3_7*Techs!AN15 + Overview!$I$33),0)</f>
        <v>-403</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-163</v>
      </c>
    </row>
    <row r="16" spans="1:36" x14ac:dyDescent="0.2">
      <c r="A16" s="175">
        <f>TblRezone[[#This Row],[Hour]]</f>
        <v>13</v>
      </c>
      <c r="B16" s="214">
        <f ca="1">TblConstr[[#This Row],[Land]]</f>
        <v>110</v>
      </c>
      <c r="C16" s="215"/>
      <c r="D16" s="216">
        <f ca="1">TblConstr[[#This Row],[Plain]]</f>
        <v>60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0.73048327137546465</v>
      </c>
      <c r="Q16" s="175">
        <f ca="1">TblExplore[[#This Row],[Land]]</f>
        <v>110</v>
      </c>
      <c r="R16" s="175">
        <f>TblExplore[[#This Row],[Hour]]</f>
        <v>13</v>
      </c>
      <c r="S16" s="218"/>
      <c r="T16" s="179"/>
      <c r="U16" s="179"/>
      <c r="V16" s="179"/>
      <c r="W16" s="179"/>
      <c r="X16" s="179"/>
      <c r="Y16" s="179"/>
      <c r="Z16" s="179"/>
      <c r="AA16" s="159">
        <f ca="1">TblImps[[#This Row],[Real time]]</f>
        <v>46102.249999999971</v>
      </c>
      <c r="AB16" s="94">
        <f ca="1">TblMili[[#This Row],[Draftees]]</f>
        <v>213</v>
      </c>
      <c r="AC16" s="94">
        <f ca="1">TblProd[[#This Row],[Platinum]]</f>
        <v>66875</v>
      </c>
      <c r="AD16" s="215"/>
      <c r="AE16" s="45">
        <f ca="1">TblExplore[[#This Row],[Land]]-TblExplore[[#This Row],[Land Bonus]]*20</f>
        <v>110</v>
      </c>
      <c r="AF16" s="94">
        <f ca="1">ROUND((0.6*TblExplore[[#This Row],[Land-DB]]^1.299 + IF(TblExplore[[#This Row],[Land-DB]]&lt;1520, (-0.001*(TblExplore[[#This Row],[Land-DB]]^2)+1.91*TblExplore[[#This Row],[Land-DB]]-593), 0))*(1+ tech_2_6*Techs!AC16 + tech_2_9*Techs!AF16 + tech_3_7*Techs!AN16 + Overview!$I$33),0)</f>
        <v>-126</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-531</v>
      </c>
    </row>
    <row r="17" spans="1:36" hidden="1" x14ac:dyDescent="0.2">
      <c r="A17" s="175">
        <f>TblRezone[[#This Row],[Hour]]</f>
        <v>14</v>
      </c>
      <c r="B17" s="214">
        <f ca="1">TblConstr[[#This Row],[Land]]</f>
        <v>110</v>
      </c>
      <c r="C17" s="215"/>
      <c r="D17" s="216">
        <f ca="1">TblConstr[[#This Row],[Plain]]</f>
        <v>60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0.74628252788104088</v>
      </c>
      <c r="Q17" s="175">
        <f ca="1">TblExplore[[#This Row],[Land]]</f>
        <v>110</v>
      </c>
      <c r="R17" s="175">
        <f>TblExplore[[#This Row],[Hour]]</f>
        <v>14</v>
      </c>
      <c r="S17" s="57"/>
      <c r="AA17" s="159">
        <f ca="1">TblImps[[#This Row],[Real time]]</f>
        <v>46102.291666666635</v>
      </c>
      <c r="AB17" s="94">
        <f ca="1">TblMili[[#This Row],[Draftees]]</f>
        <v>219</v>
      </c>
      <c r="AC17" s="94">
        <f ca="1">TblProd[[#This Row],[Platinum]]</f>
        <v>68422</v>
      </c>
      <c r="AD17" s="215"/>
      <c r="AE17" s="45">
        <f ca="1">TblExplore[[#This Row],[Land]]-TblExplore[[#This Row],[Land Bonus]]*20</f>
        <v>110</v>
      </c>
      <c r="AF17" s="94">
        <f ca="1">ROUND((0.6*TblExplore[[#This Row],[Land-DB]]^1.299 + IF(TblExplore[[#This Row],[Land-DB]]&lt;1520, (-0.001*(TblExplore[[#This Row],[Land-DB]]^2)+1.91*TblExplore[[#This Row],[Land-DB]]-593), 0))*(1+ tech_2_6*Techs!AC17 + tech_2_9*Techs!AF17 + tech_3_7*Techs!AN17 + Overview!$I$33),0)</f>
        <v>-126</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-544</v>
      </c>
    </row>
    <row r="18" spans="1:36" hidden="1" x14ac:dyDescent="0.2">
      <c r="A18" s="175">
        <f>TblRezone[[#This Row],[Hour]]</f>
        <v>15</v>
      </c>
      <c r="B18" s="214">
        <f ca="1">TblConstr[[#This Row],[Land]]</f>
        <v>110</v>
      </c>
      <c r="C18" s="215"/>
      <c r="D18" s="216">
        <f ca="1">TblConstr[[#This Row],[Plain]]</f>
        <v>60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0.76208178438661711</v>
      </c>
      <c r="Q18" s="175">
        <f ca="1">TblExplore[[#This Row],[Land]]</f>
        <v>110</v>
      </c>
      <c r="R18" s="175">
        <f>TblExplore[[#This Row],[Hour]]</f>
        <v>15</v>
      </c>
      <c r="S18" s="57"/>
      <c r="AA18" s="159">
        <f ca="1">TblImps[[#This Row],[Real time]]</f>
        <v>46102.333333333299</v>
      </c>
      <c r="AB18" s="94">
        <f ca="1">TblMili[[#This Row],[Draftees]]</f>
        <v>225</v>
      </c>
      <c r="AC18" s="94">
        <f ca="1">TblProd[[#This Row],[Platinum]]</f>
        <v>69998</v>
      </c>
      <c r="AD18" s="215"/>
      <c r="AE18" s="45">
        <f ca="1">TblExplore[[#This Row],[Land]]-TblExplore[[#This Row],[Land Bonus]]*20</f>
        <v>110</v>
      </c>
      <c r="AF18" s="94">
        <f ca="1">ROUND((0.6*TblExplore[[#This Row],[Land-DB]]^1.299 + IF(TblExplore[[#This Row],[Land-DB]]&lt;1520, (-0.001*(TblExplore[[#This Row],[Land-DB]]^2)+1.91*TblExplore[[#This Row],[Land-DB]]-593), 0))*(1+ tech_2_6*Techs!AC18 + tech_2_9*Techs!AF18 + tech_3_7*Techs!AN18 + Overview!$I$33),0)</f>
        <v>-126</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-556</v>
      </c>
    </row>
    <row r="19" spans="1:36" hidden="1" x14ac:dyDescent="0.2">
      <c r="A19" s="175">
        <f>TblRezone[[#This Row],[Hour]]</f>
        <v>16</v>
      </c>
      <c r="B19" s="214">
        <f ca="1">TblConstr[[#This Row],[Land]]</f>
        <v>110</v>
      </c>
      <c r="C19" s="215"/>
      <c r="D19" s="216">
        <f ca="1">TblConstr[[#This Row],[Plain]]</f>
        <v>60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0.77881040892193309</v>
      </c>
      <c r="Q19" s="175">
        <f ca="1">TblExplore[[#This Row],[Land]]</f>
        <v>110</v>
      </c>
      <c r="R19" s="175">
        <f>TblExplore[[#This Row],[Hour]]</f>
        <v>16</v>
      </c>
      <c r="S19" s="57"/>
      <c r="T19" s="94"/>
      <c r="AA19" s="159">
        <f ca="1">TblImps[[#This Row],[Real time]]</f>
        <v>46102.374999999964</v>
      </c>
      <c r="AB19" s="94">
        <f ca="1">TblMili[[#This Row],[Draftees]]</f>
        <v>231</v>
      </c>
      <c r="AC19" s="94">
        <f ca="1">TblProd[[#This Row],[Platinum]]</f>
        <v>71604</v>
      </c>
      <c r="AD19" s="215"/>
      <c r="AE19" s="45">
        <f ca="1">TblExplore[[#This Row],[Land]]-TblExplore[[#This Row],[Land Bonus]]*20</f>
        <v>110</v>
      </c>
      <c r="AF19" s="94">
        <f ca="1">ROUND((0.6*TblExplore[[#This Row],[Land-DB]]^1.299 + IF(TblExplore[[#This Row],[Land-DB]]&lt;1520, (-0.001*(TblExplore[[#This Row],[Land-DB]]^2)+1.91*TblExplore[[#This Row],[Land-DB]]-593), 0))*(1+ tech_2_6*Techs!AC19 + tech_2_9*Techs!AF19 + tech_3_7*Techs!AN19 + Overview!$I$33),0)</f>
        <v>-126</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-569</v>
      </c>
    </row>
    <row r="20" spans="1:36" hidden="1" x14ac:dyDescent="0.2">
      <c r="A20" s="175">
        <f>TblRezone[[#This Row],[Hour]]</f>
        <v>17</v>
      </c>
      <c r="B20" s="214">
        <f ca="1">TblConstr[[#This Row],[Land]]</f>
        <v>110</v>
      </c>
      <c r="C20" s="215"/>
      <c r="D20" s="216">
        <f ca="1">TblConstr[[#This Row],[Plain]]</f>
        <v>60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0.79553903345724908</v>
      </c>
      <c r="Q20" s="175">
        <f ca="1">TblExplore[[#This Row],[Land]]</f>
        <v>110</v>
      </c>
      <c r="R20" s="175">
        <f>TblExplore[[#This Row],[Hour]]</f>
        <v>17</v>
      </c>
      <c r="S20" s="57"/>
      <c r="T20" s="94"/>
      <c r="AA20" s="159">
        <f ca="1">TblImps[[#This Row],[Real time]]</f>
        <v>46102.416666666628</v>
      </c>
      <c r="AB20" s="94">
        <f ca="1">TblMili[[#This Row],[Draftees]]</f>
        <v>237</v>
      </c>
      <c r="AC20" s="94">
        <f ca="1">TblProd[[#This Row],[Platinum]]</f>
        <v>73242</v>
      </c>
      <c r="AD20" s="215"/>
      <c r="AE20" s="45">
        <f ca="1">TblExplore[[#This Row],[Land]]-TblExplore[[#This Row],[Land Bonus]]*20</f>
        <v>110</v>
      </c>
      <c r="AF20" s="94">
        <f ca="1">ROUND((0.6*TblExplore[[#This Row],[Land-DB]]^1.299 + IF(TblExplore[[#This Row],[Land-DB]]&lt;1520, (-0.001*(TblExplore[[#This Row],[Land-DB]]^2)+1.91*TblExplore[[#This Row],[Land-DB]]-593), 0))*(1+ tech_2_6*Techs!AC20 + tech_2_9*Techs!AF20 + tech_3_7*Techs!AN20 + Overview!$I$33),0)</f>
        <v>-126</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-582</v>
      </c>
    </row>
    <row r="21" spans="1:36" hidden="1" x14ac:dyDescent="0.2">
      <c r="A21" s="175">
        <f>TblRezone[[#This Row],[Hour]]</f>
        <v>18</v>
      </c>
      <c r="B21" s="214">
        <f ca="1">TblConstr[[#This Row],[Land]]</f>
        <v>110</v>
      </c>
      <c r="C21" s="215"/>
      <c r="D21" s="216">
        <f ca="1">TblConstr[[#This Row],[Plain]]</f>
        <v>60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0.81226765799256506</v>
      </c>
      <c r="Q21" s="175">
        <f ca="1">TblExplore[[#This Row],[Land]]</f>
        <v>110</v>
      </c>
      <c r="R21" s="175">
        <f>TblExplore[[#This Row],[Hour]]</f>
        <v>18</v>
      </c>
      <c r="S21" s="57"/>
      <c r="AA21" s="159">
        <f ca="1">TblImps[[#This Row],[Real time]]</f>
        <v>46102.458333333292</v>
      </c>
      <c r="AB21" s="94">
        <f ca="1">TblMili[[#This Row],[Draftees]]</f>
        <v>243</v>
      </c>
      <c r="AC21" s="94">
        <f ca="1">TblProd[[#This Row],[Platinum]]</f>
        <v>74913</v>
      </c>
      <c r="AD21" s="215"/>
      <c r="AE21" s="45">
        <f ca="1">TblExplore[[#This Row],[Land]]-TblExplore[[#This Row],[Land Bonus]]*20</f>
        <v>110</v>
      </c>
      <c r="AF21" s="94">
        <f ca="1">ROUND((0.6*TblExplore[[#This Row],[Land-DB]]^1.299 + IF(TblExplore[[#This Row],[Land-DB]]&lt;1520, (-0.001*(TblExplore[[#This Row],[Land-DB]]^2)+1.91*TblExplore[[#This Row],[Land-DB]]-593), 0))*(1+ tech_2_6*Techs!AC21 + tech_2_9*Techs!AF21 + tech_3_7*Techs!AN21 + Overview!$I$33),0)</f>
        <v>-126</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-595</v>
      </c>
    </row>
    <row r="22" spans="1:36" hidden="1" x14ac:dyDescent="0.2">
      <c r="A22" s="175">
        <f>TblRezone[[#This Row],[Hour]]</f>
        <v>19</v>
      </c>
      <c r="B22" s="214">
        <f ca="1">TblConstr[[#This Row],[Land]]</f>
        <v>110</v>
      </c>
      <c r="C22" s="215"/>
      <c r="D22" s="216">
        <f ca="1">TblConstr[[#This Row],[Plain]]</f>
        <v>60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0.8299256505576208</v>
      </c>
      <c r="Q22" s="175">
        <f ca="1">TblExplore[[#This Row],[Land]]</f>
        <v>110</v>
      </c>
      <c r="R22" s="175">
        <f>TblExplore[[#This Row],[Hour]]</f>
        <v>19</v>
      </c>
      <c r="S22" s="57"/>
      <c r="AA22" s="159">
        <f ca="1">TblImps[[#This Row],[Real time]]</f>
        <v>46102.499999999956</v>
      </c>
      <c r="AB22" s="94">
        <f ca="1">TblMili[[#This Row],[Draftees]]</f>
        <v>249</v>
      </c>
      <c r="AC22" s="94">
        <f ca="1">TblProd[[#This Row],[Platinum]]</f>
        <v>76616</v>
      </c>
      <c r="AD22" s="215"/>
      <c r="AE22" s="45">
        <f ca="1">TblExplore[[#This Row],[Land]]-TblExplore[[#This Row],[Land Bonus]]*20</f>
        <v>110</v>
      </c>
      <c r="AF22" s="94">
        <f ca="1">ROUND((0.6*TblExplore[[#This Row],[Land-DB]]^1.299 + IF(TblExplore[[#This Row],[Land-DB]]&lt;1520, (-0.001*(TblExplore[[#This Row],[Land-DB]]^2)+1.91*TblExplore[[#This Row],[Land-DB]]-593), 0))*(1+ tech_2_6*Techs!AC22 + tech_2_9*Techs!AF22 + tech_3_7*Techs!AN22 + Overview!$I$33),0)</f>
        <v>-126</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-609</v>
      </c>
    </row>
    <row r="23" spans="1:36" hidden="1" x14ac:dyDescent="0.2">
      <c r="A23" s="175">
        <f>TblRezone[[#This Row],[Hour]]</f>
        <v>20</v>
      </c>
      <c r="B23" s="214">
        <f ca="1">TblConstr[[#This Row],[Land]]</f>
        <v>110</v>
      </c>
      <c r="C23" s="215"/>
      <c r="D23" s="216">
        <f ca="1">TblConstr[[#This Row],[Plain]]</f>
        <v>60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0.84758364312267653</v>
      </c>
      <c r="Q23" s="175">
        <f ca="1">TblExplore[[#This Row],[Land]]</f>
        <v>110</v>
      </c>
      <c r="R23" s="175">
        <f>TblExplore[[#This Row],[Hour]]</f>
        <v>20</v>
      </c>
      <c r="S23" s="57"/>
      <c r="AA23" s="159">
        <f ca="1">TblImps[[#This Row],[Real time]]</f>
        <v>46102.541666666621</v>
      </c>
      <c r="AB23" s="94">
        <f ca="1">TblMili[[#This Row],[Draftees]]</f>
        <v>255</v>
      </c>
      <c r="AC23" s="94">
        <f ca="1">TblProd[[#This Row],[Platinum]]</f>
        <v>78354</v>
      </c>
      <c r="AD23" s="215"/>
      <c r="AE23" s="45">
        <f ca="1">TblExplore[[#This Row],[Land]]-TblExplore[[#This Row],[Land Bonus]]*20</f>
        <v>110</v>
      </c>
      <c r="AF23" s="94">
        <f ca="1">ROUND((0.6*TblExplore[[#This Row],[Land-DB]]^1.299 + IF(TblExplore[[#This Row],[Land-DB]]&lt;1520, (-0.001*(TblExplore[[#This Row],[Land-DB]]^2)+1.91*TblExplore[[#This Row],[Land-DB]]-593), 0))*(1+ tech_2_6*Techs!AC23 + tech_2_9*Techs!AF23 + tech_3_7*Techs!AN23 + Overview!$I$33),0)</f>
        <v>-126</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-622</v>
      </c>
    </row>
    <row r="24" spans="1:36" hidden="1" x14ac:dyDescent="0.2">
      <c r="A24" s="175">
        <f>TblRezone[[#This Row],[Hour]]</f>
        <v>21</v>
      </c>
      <c r="B24" s="214">
        <f ca="1">TblConstr[[#This Row],[Land]]</f>
        <v>110</v>
      </c>
      <c r="C24" s="215"/>
      <c r="D24" s="216">
        <f ca="1">TblConstr[[#This Row],[Plain]]</f>
        <v>60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0.86617100371747213</v>
      </c>
      <c r="Q24" s="175">
        <f ca="1">TblExplore[[#This Row],[Land]]</f>
        <v>110</v>
      </c>
      <c r="R24" s="214">
        <f>TblExplore[[#This Row],[Hour]]</f>
        <v>21</v>
      </c>
      <c r="S24" s="57"/>
      <c r="AA24" s="159">
        <f ca="1">TblImps[[#This Row],[Real time]]</f>
        <v>46102.583333333285</v>
      </c>
      <c r="AB24" s="94">
        <f ca="1">TblMili[[#This Row],[Draftees]]</f>
        <v>262</v>
      </c>
      <c r="AC24" s="94">
        <f ca="1">TblProd[[#This Row],[Platinum]]</f>
        <v>80127</v>
      </c>
      <c r="AD24" s="215"/>
      <c r="AE24" s="45">
        <f ca="1">TblExplore[[#This Row],[Land]]-TblExplore[[#This Row],[Land Bonus]]*20</f>
        <v>110</v>
      </c>
      <c r="AF24" s="94">
        <f ca="1">ROUND((0.6*TblExplore[[#This Row],[Land-DB]]^1.299 + IF(TblExplore[[#This Row],[Land-DB]]&lt;1520, (-0.001*(TblExplore[[#This Row],[Land-DB]]^2)+1.91*TblExplore[[#This Row],[Land-DB]]-593), 0))*(1+ tech_2_6*Techs!AC24 + tech_2_9*Techs!AF24 + tech_3_7*Techs!AN24 + Overview!$I$33),0)</f>
        <v>-126</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-636</v>
      </c>
    </row>
    <row r="25" spans="1:36" hidden="1" x14ac:dyDescent="0.2">
      <c r="A25" s="175">
        <f>TblRezone[[#This Row],[Hour]]</f>
        <v>22</v>
      </c>
      <c r="B25" s="214">
        <f ca="1">TblConstr[[#This Row],[Land]]</f>
        <v>110</v>
      </c>
      <c r="C25" s="215"/>
      <c r="D25" s="216">
        <f ca="1">TblConstr[[#This Row],[Plain]]</f>
        <v>60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0.88475836431226762</v>
      </c>
      <c r="Q25" s="175">
        <f ca="1">TblExplore[[#This Row],[Land]]</f>
        <v>110</v>
      </c>
      <c r="R25" s="214">
        <f>TblExplore[[#This Row],[Hour]]</f>
        <v>22</v>
      </c>
      <c r="S25" s="57"/>
      <c r="AA25" s="159">
        <f ca="1">TblImps[[#This Row],[Real time]]</f>
        <v>46102.624999999949</v>
      </c>
      <c r="AB25" s="94">
        <f ca="1">TblMili[[#This Row],[Draftees]]</f>
        <v>269</v>
      </c>
      <c r="AC25" s="94">
        <f ca="1">TblProd[[#This Row],[Platinum]]</f>
        <v>81936</v>
      </c>
      <c r="AD25" s="215"/>
      <c r="AE25" s="45">
        <f ca="1">TblExplore[[#This Row],[Land]]-TblExplore[[#This Row],[Land Bonus]]*20</f>
        <v>110</v>
      </c>
      <c r="AF25" s="94">
        <f ca="1">ROUND((0.6*TblExplore[[#This Row],[Land-DB]]^1.299 + IF(TblExplore[[#This Row],[Land-DB]]&lt;1520, (-0.001*(TblExplore[[#This Row],[Land-DB]]^2)+1.91*TblExplore[[#This Row],[Land-DB]]-593), 0))*(1+ tech_2_6*Techs!AC25 + tech_2_9*Techs!AF25 + tech_3_7*Techs!AN25 + Overview!$I$33),0)</f>
        <v>-126</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-651</v>
      </c>
    </row>
    <row r="26" spans="1:36" hidden="1" x14ac:dyDescent="0.2">
      <c r="A26" s="175">
        <f>TblRezone[[#This Row],[Hour]]</f>
        <v>23</v>
      </c>
      <c r="B26" s="214">
        <f ca="1">TblConstr[[#This Row],[Land]]</f>
        <v>110</v>
      </c>
      <c r="C26" s="215"/>
      <c r="D26" s="216">
        <f ca="1">TblConstr[[#This Row],[Plain]]</f>
        <v>60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156179</v>
      </c>
      <c r="N26" s="217">
        <f ca="1">TblMili[[#This Row],[Smithies]]</f>
        <v>0</v>
      </c>
      <c r="O26" s="217">
        <f ca="1">TblPop[[#This Row],[Employment]]</f>
        <v>1</v>
      </c>
      <c r="P26" s="217">
        <f ca="1">TblImps[[#This Row],[Population]]</f>
        <v>0.90334572490706322</v>
      </c>
      <c r="Q26" s="175">
        <f ca="1">TblExplore[[#This Row],[Land]]</f>
        <v>110</v>
      </c>
      <c r="R26" s="175">
        <f>TblExplore[[#This Row],[Hour]]</f>
        <v>23</v>
      </c>
      <c r="S26" s="57"/>
      <c r="AA26" s="159">
        <f ca="1">TblImps[[#This Row],[Real time]]</f>
        <v>46102.666666666613</v>
      </c>
      <c r="AB26" s="94">
        <f ca="1">TblMili[[#This Row],[Draftees]]</f>
        <v>276</v>
      </c>
      <c r="AC26" s="94">
        <f ca="1">TblProd[[#This Row],[Platinum]]</f>
        <v>83780</v>
      </c>
      <c r="AD26" s="215"/>
      <c r="AE26" s="45">
        <f ca="1">TblExplore[[#This Row],[Land]]-TblExplore[[#This Row],[Land Bonus]]*20</f>
        <v>110</v>
      </c>
      <c r="AF26" s="94">
        <f ca="1">ROUND((0.6*TblExplore[[#This Row],[Land-DB]]^1.299 + IF(TblExplore[[#This Row],[Land-DB]]&lt;1520, (-0.001*(TblExplore[[#This Row],[Land-DB]]^2)+1.91*TblExplore[[#This Row],[Land-DB]]-593), 0))*(1+ tech_2_6*Techs!AC26 + tech_2_9*Techs!AF26 + tech_3_7*Techs!AN26 + Overview!$I$33),0)</f>
        <v>-126</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-665</v>
      </c>
    </row>
    <row r="27" spans="1:36" hidden="1" x14ac:dyDescent="0.2">
      <c r="A27" s="175">
        <f>TblRezone[[#This Row],[Hour]]</f>
        <v>24</v>
      </c>
      <c r="B27" s="214">
        <f ca="1">TblConstr[[#This Row],[Land]]</f>
        <v>110</v>
      </c>
      <c r="C27" s="215"/>
      <c r="D27" s="216">
        <f ca="1">TblConstr[[#This Row],[Plain]]</f>
        <v>60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1314</v>
      </c>
      <c r="N27" s="217">
        <f ca="1">TblMili[[#This Row],[Smithies]]</f>
        <v>0</v>
      </c>
      <c r="O27" s="217">
        <f ca="1">TblPop[[#This Row],[Employment]]</f>
        <v>1</v>
      </c>
      <c r="P27" s="217">
        <f ca="1">TblImps[[#This Row],[Population]]</f>
        <v>0.92286245353159846</v>
      </c>
      <c r="Q27" s="175">
        <f ca="1">TblExplore[[#This Row],[Land]]</f>
        <v>110</v>
      </c>
      <c r="R27" s="175">
        <f>TblExplore[[#This Row],[Hour]]</f>
        <v>24</v>
      </c>
      <c r="S27" s="57"/>
      <c r="T27" s="94"/>
      <c r="AA27" s="159">
        <f ca="1">TblImps[[#This Row],[Real time]]</f>
        <v>46102.708333333278</v>
      </c>
      <c r="AB27" s="94">
        <f ca="1">TblMili[[#This Row],[Draftees]]</f>
        <v>283</v>
      </c>
      <c r="AC27" s="94">
        <f ca="1">TblProd[[#This Row],[Platinum]]</f>
        <v>85659</v>
      </c>
      <c r="AD27" s="215"/>
      <c r="AE27" s="45">
        <f ca="1">TblExplore[[#This Row],[Land]]-TblExplore[[#This Row],[Land Bonus]]*20</f>
        <v>110</v>
      </c>
      <c r="AF27" s="94">
        <f ca="1">ROUND((0.6*TblExplore[[#This Row],[Land-DB]]^1.299 + IF(TblExplore[[#This Row],[Land-DB]]&lt;1520, (-0.001*(TblExplore[[#This Row],[Land-DB]]^2)+1.91*TblExplore[[#This Row],[Land-DB]]-593), 0))*(1+ tech_2_6*Techs!AC27 + tech_2_9*Techs!AF27 + tech_3_7*Techs!AN27 + Overview!$I$33),0)</f>
        <v>-126</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-680</v>
      </c>
    </row>
    <row r="28" spans="1:36" x14ac:dyDescent="0.2">
      <c r="A28" s="175">
        <f>TblRezone[[#This Row],[Hour]]</f>
        <v>25</v>
      </c>
      <c r="B28" s="214">
        <f ca="1">TblConstr[[#This Row],[Land]]</f>
        <v>110</v>
      </c>
      <c r="C28" s="215"/>
      <c r="D28" s="216">
        <f ca="1">TblConstr[[#This Row],[Plain]]</f>
        <v>60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529</v>
      </c>
      <c r="N28" s="217">
        <f ca="1">TblMili[[#This Row],[Smithies]]</f>
        <v>0</v>
      </c>
      <c r="O28" s="217">
        <f ca="1">TblPop[[#This Row],[Employment]]</f>
        <v>1</v>
      </c>
      <c r="P28" s="217">
        <f ca="1">TblImps[[#This Row],[Population]]</f>
        <v>0.94237918215613381</v>
      </c>
      <c r="Q28" s="175">
        <f ca="1">TblExplore[[#This Row],[Land]]</f>
        <v>110</v>
      </c>
      <c r="R28" s="175">
        <f>TblExplore[[#This Row],[Hour]]</f>
        <v>25</v>
      </c>
      <c r="S28" s="218"/>
      <c r="T28" s="179"/>
      <c r="U28" s="179"/>
      <c r="V28" s="179"/>
      <c r="W28" s="179"/>
      <c r="X28" s="179"/>
      <c r="Y28" s="179"/>
      <c r="Z28" s="179"/>
      <c r="AA28" s="159">
        <f ca="1">TblImps[[#This Row],[Real time]]</f>
        <v>46102.749999999942</v>
      </c>
      <c r="AB28" s="94">
        <f ca="1">TblMili[[#This Row],[Draftees]]</f>
        <v>290</v>
      </c>
      <c r="AC28" s="94">
        <f ca="1">TblProd[[#This Row],[Platinum]]</f>
        <v>87576</v>
      </c>
      <c r="AD28" s="215"/>
      <c r="AE28" s="45">
        <f ca="1">TblExplore[[#This Row],[Land]]-TblExplore[[#This Row],[Land Bonus]]*20</f>
        <v>110</v>
      </c>
      <c r="AF28" s="94">
        <f ca="1">ROUND((0.6*TblExplore[[#This Row],[Land-DB]]^1.299 + IF(TblExplore[[#This Row],[Land-DB]]&lt;1520, (-0.001*(TblExplore[[#This Row],[Land-DB]]^2)+1.91*TblExplore[[#This Row],[Land-DB]]-593), 0))*(1+ tech_2_6*Techs!AC28 + tech_2_9*Techs!AF28 + tech_3_7*Techs!AN28 + Overview!$I$33),0)</f>
        <v>-126</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-696</v>
      </c>
    </row>
    <row r="29" spans="1:36" x14ac:dyDescent="0.2">
      <c r="A29" s="175">
        <f>TblRezone[[#This Row],[Hour]]</f>
        <v>26</v>
      </c>
      <c r="B29" s="214">
        <f ca="1">TblConstr[[#This Row],[Land]]</f>
        <v>110</v>
      </c>
      <c r="C29" s="215"/>
      <c r="D29" s="216">
        <f ca="1">TblConstr[[#This Row],[Plain]]</f>
        <v>60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110</v>
      </c>
      <c r="N29" s="217">
        <f ca="1">TblMili[[#This Row],[Smithies]]</f>
        <v>0</v>
      </c>
      <c r="O29" s="217">
        <f ca="1">TblPop[[#This Row],[Employment]]</f>
        <v>1</v>
      </c>
      <c r="P29" s="217">
        <f ca="1">TblImps[[#This Row],[Population]]</f>
        <v>0.96282527881040891</v>
      </c>
      <c r="Q29" s="175">
        <f ca="1">TblExplore[[#This Row],[Land]]</f>
        <v>110</v>
      </c>
      <c r="R29" s="175">
        <f>TblExplore[[#This Row],[Hour]]</f>
        <v>26</v>
      </c>
      <c r="S29" s="218"/>
      <c r="T29" s="158"/>
      <c r="U29" s="179"/>
      <c r="V29" s="179"/>
      <c r="W29" s="179"/>
      <c r="X29" s="179"/>
      <c r="Y29" s="179"/>
      <c r="Z29" s="179"/>
      <c r="AA29" s="159">
        <f ca="1">TblImps[[#This Row],[Real time]]</f>
        <v>46102.791666666606</v>
      </c>
      <c r="AB29" s="94">
        <f ca="1">TblMili[[#This Row],[Draftees]]</f>
        <v>297</v>
      </c>
      <c r="AC29" s="94">
        <f ca="1">TblProd[[#This Row],[Platinum]]</f>
        <v>89530</v>
      </c>
      <c r="AD29" s="215"/>
      <c r="AE29" s="45">
        <f ca="1">TblExplore[[#This Row],[Land]]-TblExplore[[#This Row],[Land Bonus]]*20</f>
        <v>110</v>
      </c>
      <c r="AF29" s="94">
        <f ca="1">ROUND((0.6*TblExplore[[#This Row],[Land-DB]]^1.299 + IF(TblExplore[[#This Row],[Land-DB]]&lt;1520, (-0.001*(TblExplore[[#This Row],[Land-DB]]^2)+1.91*TblExplore[[#This Row],[Land-DB]]-593), 0))*(1+ tech_2_6*Techs!AC29 + tech_2_9*Techs!AF29 + tech_3_7*Techs!AN29 + Overview!$I$33),0)</f>
        <v>-126</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-711</v>
      </c>
    </row>
    <row r="30" spans="1:36" x14ac:dyDescent="0.2">
      <c r="A30" s="175">
        <f>TblRezone[[#This Row],[Hour]]</f>
        <v>27</v>
      </c>
      <c r="B30" s="214">
        <f ca="1">TblConstr[[#This Row],[Land]]</f>
        <v>110</v>
      </c>
      <c r="C30" s="215"/>
      <c r="D30" s="216">
        <f ca="1">TblConstr[[#This Row],[Plain]]</f>
        <v>60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0.98327137546468402</v>
      </c>
      <c r="Q30" s="175">
        <f ca="1">TblExplore[[#This Row],[Land]]</f>
        <v>110</v>
      </c>
      <c r="R30" s="175">
        <f>TblExplore[[#This Row],[Hour]]</f>
        <v>27</v>
      </c>
      <c r="S30" s="218"/>
      <c r="T30" s="158"/>
      <c r="U30" s="179"/>
      <c r="V30" s="179"/>
      <c r="W30" s="179"/>
      <c r="X30" s="179"/>
      <c r="Y30" s="179"/>
      <c r="Z30" s="179"/>
      <c r="AA30" s="159">
        <f ca="1">TblImps[[#This Row],[Real time]]</f>
        <v>46102.83333333327</v>
      </c>
      <c r="AB30" s="94">
        <f ca="1">TblMili[[#This Row],[Draftees]]</f>
        <v>304</v>
      </c>
      <c r="AC30" s="94">
        <f ca="1">TblProd[[#This Row],[Platinum]]</f>
        <v>91525</v>
      </c>
      <c r="AD30" s="215"/>
      <c r="AE30" s="45">
        <f ca="1">TblExplore[[#This Row],[Land]]-TblExplore[[#This Row],[Land Bonus]]*20</f>
        <v>110</v>
      </c>
      <c r="AF30" s="94">
        <f ca="1">ROUND((0.6*TblExplore[[#This Row],[Land-DB]]^1.299 + IF(TblExplore[[#This Row],[Land-DB]]&lt;1520, (-0.001*(TblExplore[[#This Row],[Land-DB]]^2)+1.91*TblExplore[[#This Row],[Land-DB]]-593), 0))*(1+ tech_2_6*Techs!AC30 + tech_2_9*Techs!AF30 + tech_3_7*Techs!AN30 + Overview!$I$33),0)</f>
        <v>-126</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-727</v>
      </c>
    </row>
    <row r="31" spans="1:36" x14ac:dyDescent="0.2">
      <c r="A31" s="175">
        <f>TblRezone[[#This Row],[Hour]]</f>
        <v>28</v>
      </c>
      <c r="B31" s="214">
        <f ca="1">TblConstr[[#This Row],[Land]]</f>
        <v>110</v>
      </c>
      <c r="C31" s="215"/>
      <c r="D31" s="216">
        <f ca="1">TblConstr[[#This Row],[Plain]]</f>
        <v>60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110</v>
      </c>
      <c r="R31" s="175">
        <f>TblExplore[[#This Row],[Hour]]</f>
        <v>28</v>
      </c>
      <c r="S31" s="218"/>
      <c r="T31" s="158"/>
      <c r="U31" s="179"/>
      <c r="V31" s="179"/>
      <c r="W31" s="179"/>
      <c r="X31" s="179"/>
      <c r="Y31" s="179"/>
      <c r="Z31" s="179"/>
      <c r="AA31" s="159">
        <f ca="1">TblImps[[#This Row],[Real time]]</f>
        <v>46102.874999999935</v>
      </c>
      <c r="AB31" s="94">
        <f ca="1">TblMili[[#This Row],[Draftees]]</f>
        <v>312</v>
      </c>
      <c r="AC31" s="94">
        <f ca="1">TblProd[[#This Row],[Platinum]]</f>
        <v>93560</v>
      </c>
      <c r="AD31" s="215"/>
      <c r="AE31" s="45">
        <f ca="1">TblExplore[[#This Row],[Land]]-TblExplore[[#This Row],[Land Bonus]]*20</f>
        <v>110</v>
      </c>
      <c r="AF31" s="94">
        <f ca="1">ROUND((0.6*TblExplore[[#This Row],[Land-DB]]^1.299 + IF(TblExplore[[#This Row],[Land-DB]]&lt;1520, (-0.001*(TblExplore[[#This Row],[Land-DB]]^2)+1.91*TblExplore[[#This Row],[Land-DB]]-593), 0))*(1+ tech_2_6*Techs!AC31 + tech_2_9*Techs!AF31 + tech_3_7*Techs!AN31 + Overview!$I$33),0)</f>
        <v>-126</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-743</v>
      </c>
    </row>
    <row r="32" spans="1:36" x14ac:dyDescent="0.2">
      <c r="A32" s="175">
        <f>TblRezone[[#This Row],[Hour]]</f>
        <v>29</v>
      </c>
      <c r="B32" s="214">
        <f ca="1">TblConstr[[#This Row],[Land]]</f>
        <v>110</v>
      </c>
      <c r="C32" s="215"/>
      <c r="D32" s="216">
        <f ca="1">TblConstr[[#This Row],[Plain]]</f>
        <v>60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110</v>
      </c>
      <c r="R32" s="175">
        <f>TblExplore[[#This Row],[Hour]]</f>
        <v>29</v>
      </c>
      <c r="S32" s="218"/>
      <c r="T32" s="158"/>
      <c r="U32" s="179"/>
      <c r="V32" s="179"/>
      <c r="W32" s="179"/>
      <c r="X32" s="179"/>
      <c r="Y32" s="179"/>
      <c r="Z32" s="179"/>
      <c r="AA32" s="159">
        <f ca="1">TblImps[[#This Row],[Real time]]</f>
        <v>46102.916666666599</v>
      </c>
      <c r="AB32" s="94">
        <f ca="1">TblMili[[#This Row],[Draftees]]</f>
        <v>320</v>
      </c>
      <c r="AC32" s="94">
        <f ca="1">TblProd[[#This Row],[Platinum]]</f>
        <v>95622</v>
      </c>
      <c r="AD32" s="215"/>
      <c r="AE32" s="45">
        <f ca="1">TblExplore[[#This Row],[Land]]-TblExplore[[#This Row],[Land Bonus]]*20</f>
        <v>110</v>
      </c>
      <c r="AF32" s="94">
        <f ca="1">ROUND((0.6*TblExplore[[#This Row],[Land-DB]]^1.299 + IF(TblExplore[[#This Row],[Land-DB]]&lt;1520, (-0.001*(TblExplore[[#This Row],[Land-DB]]^2)+1.91*TblExplore[[#This Row],[Land-DB]]-593), 0))*(1+ tech_2_6*Techs!AC32 + tech_2_9*Techs!AF32 + tech_3_7*Techs!AN32 + Overview!$I$33),0)</f>
        <v>-126</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-759</v>
      </c>
    </row>
    <row r="33" spans="1:36" x14ac:dyDescent="0.2">
      <c r="A33" s="175">
        <f>TblRezone[[#This Row],[Hour]]</f>
        <v>30</v>
      </c>
      <c r="B33" s="214">
        <f ca="1">TblConstr[[#This Row],[Land]]</f>
        <v>110</v>
      </c>
      <c r="C33" s="215"/>
      <c r="D33" s="216">
        <f ca="1">TblConstr[[#This Row],[Plain]]</f>
        <v>60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110</v>
      </c>
      <c r="R33" s="175">
        <f>TblExplore[[#This Row],[Hour]]</f>
        <v>30</v>
      </c>
      <c r="S33" s="218"/>
      <c r="T33" s="158"/>
      <c r="U33" s="179"/>
      <c r="V33" s="179"/>
      <c r="W33" s="179"/>
      <c r="X33" s="179"/>
      <c r="Y33" s="179"/>
      <c r="Z33" s="179"/>
      <c r="AA33" s="159">
        <f ca="1">TblImps[[#This Row],[Real time]]</f>
        <v>46102.958333333263</v>
      </c>
      <c r="AB33" s="94">
        <f ca="1">TblMili[[#This Row],[Draftees]]</f>
        <v>328</v>
      </c>
      <c r="AC33" s="94">
        <f ca="1">TblProd[[#This Row],[Platinum]]</f>
        <v>97663</v>
      </c>
      <c r="AD33" s="215"/>
      <c r="AE33" s="45">
        <f ca="1">TblExplore[[#This Row],[Land]]-TblExplore[[#This Row],[Land Bonus]]*20</f>
        <v>110</v>
      </c>
      <c r="AF33" s="94">
        <f ca="1">ROUND((0.6*TblExplore[[#This Row],[Land-DB]]^1.299 + IF(TblExplore[[#This Row],[Land-DB]]&lt;1520, (-0.001*(TblExplore[[#This Row],[Land-DB]]^2)+1.91*TblExplore[[#This Row],[Land-DB]]-593), 0))*(1+ tech_2_6*Techs!AC33 + tech_2_9*Techs!AF33 + tech_3_7*Techs!AN33 + Overview!$I$33),0)</f>
        <v>-126</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-776</v>
      </c>
    </row>
    <row r="34" spans="1:36" x14ac:dyDescent="0.2">
      <c r="A34" s="175">
        <f>TblRezone[[#This Row],[Hour]]</f>
        <v>31</v>
      </c>
      <c r="B34" s="214">
        <f ca="1">TblConstr[[#This Row],[Land]]</f>
        <v>110</v>
      </c>
      <c r="C34" s="215"/>
      <c r="D34" s="216">
        <f ca="1">TblConstr[[#This Row],[Plain]]</f>
        <v>60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110</v>
      </c>
      <c r="R34" s="175">
        <f>TblExplore[[#This Row],[Hour]]</f>
        <v>31</v>
      </c>
      <c r="S34" s="218"/>
      <c r="T34" s="179"/>
      <c r="U34" s="179"/>
      <c r="V34" s="179"/>
      <c r="W34" s="179"/>
      <c r="X34" s="179"/>
      <c r="Y34" s="179"/>
      <c r="Z34" s="179"/>
      <c r="AA34" s="159">
        <f ca="1">TblImps[[#This Row],[Real time]]</f>
        <v>46102.999999999927</v>
      </c>
      <c r="AB34" s="94">
        <f ca="1">TblMili[[#This Row],[Draftees]]</f>
        <v>335</v>
      </c>
      <c r="AC34" s="94">
        <f ca="1">TblProd[[#This Row],[Platinum]]</f>
        <v>99682</v>
      </c>
      <c r="AD34" s="215"/>
      <c r="AE34" s="45">
        <f ca="1">TblExplore[[#This Row],[Land]]-TblExplore[[#This Row],[Land Bonus]]*20</f>
        <v>110</v>
      </c>
      <c r="AF34" s="94">
        <f ca="1">ROUND((0.6*TblExplore[[#This Row],[Land-DB]]^1.299 + IF(TblExplore[[#This Row],[Land-DB]]&lt;1520, (-0.001*(TblExplore[[#This Row],[Land-DB]]^2)+1.91*TblExplore[[#This Row],[Land-DB]]-593), 0))*(1+ tech_2_6*Techs!AC34 + tech_2_9*Techs!AF34 + tech_3_7*Techs!AN34 + Overview!$I$33),0)</f>
        <v>-126</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-792</v>
      </c>
    </row>
    <row r="35" spans="1:36" x14ac:dyDescent="0.2">
      <c r="A35" s="175">
        <f>TblRezone[[#This Row],[Hour]]</f>
        <v>32</v>
      </c>
      <c r="B35" s="214">
        <f ca="1">TblConstr[[#This Row],[Land]]</f>
        <v>110</v>
      </c>
      <c r="C35" s="215"/>
      <c r="D35" s="216">
        <f ca="1">TblConstr[[#This Row],[Plain]]</f>
        <v>60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110</v>
      </c>
      <c r="R35" s="175">
        <f>TblExplore[[#This Row],[Hour]]</f>
        <v>32</v>
      </c>
      <c r="S35" s="218"/>
      <c r="T35" s="179"/>
      <c r="U35" s="179"/>
      <c r="V35" s="179"/>
      <c r="W35" s="179"/>
      <c r="X35" s="179"/>
      <c r="Y35" s="179"/>
      <c r="Z35" s="179"/>
      <c r="AA35" s="159">
        <f ca="1">TblImps[[#This Row],[Real time]]</f>
        <v>46103.041666666591</v>
      </c>
      <c r="AB35" s="94">
        <f ca="1">TblMili[[#This Row],[Draftees]]</f>
        <v>342</v>
      </c>
      <c r="AC35" s="94">
        <f ca="1">TblProd[[#This Row],[Platinum]]</f>
        <v>101682</v>
      </c>
      <c r="AD35" s="215"/>
      <c r="AE35" s="45">
        <f ca="1">TblExplore[[#This Row],[Land]]-TblExplore[[#This Row],[Land Bonus]]*20</f>
        <v>110</v>
      </c>
      <c r="AF35" s="94">
        <f ca="1">ROUND((0.6*TblExplore[[#This Row],[Land-DB]]^1.299 + IF(TblExplore[[#This Row],[Land-DB]]&lt;1520, (-0.001*(TblExplore[[#This Row],[Land-DB]]^2)+1.91*TblExplore[[#This Row],[Land-DB]]-593), 0))*(1+ tech_2_6*Techs!AC35 + tech_2_9*Techs!AF35 + tech_3_7*Techs!AN35 + Overview!$I$33),0)</f>
        <v>-126</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-807</v>
      </c>
    </row>
    <row r="36" spans="1:36" x14ac:dyDescent="0.2">
      <c r="A36" s="175">
        <f>TblRezone[[#This Row],[Hour]]</f>
        <v>33</v>
      </c>
      <c r="B36" s="214">
        <f ca="1">TblConstr[[#This Row],[Land]]</f>
        <v>110</v>
      </c>
      <c r="C36" s="215"/>
      <c r="D36" s="216">
        <f ca="1">TblConstr[[#This Row],[Plain]]</f>
        <v>60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110</v>
      </c>
      <c r="R36" s="175">
        <f>TblExplore[[#This Row],[Hour]]</f>
        <v>33</v>
      </c>
      <c r="S36" s="218"/>
      <c r="T36" s="179"/>
      <c r="U36" s="179"/>
      <c r="V36" s="179"/>
      <c r="W36" s="179"/>
      <c r="X36" s="179"/>
      <c r="Y36" s="179"/>
      <c r="Z36" s="179"/>
      <c r="AA36" s="159">
        <f ca="1">TblImps[[#This Row],[Real time]]</f>
        <v>46103.083333333256</v>
      </c>
      <c r="AB36" s="94">
        <f ca="1">TblMili[[#This Row],[Draftees]]</f>
        <v>349</v>
      </c>
      <c r="AC36" s="94">
        <f ca="1">TblProd[[#This Row],[Platinum]]</f>
        <v>103663</v>
      </c>
      <c r="AD36" s="215"/>
      <c r="AE36" s="45">
        <f ca="1">TblExplore[[#This Row],[Land]]-TblExplore[[#This Row],[Land Bonus]]*20</f>
        <v>110</v>
      </c>
      <c r="AF36" s="94">
        <f ca="1">ROUND((0.6*TblExplore[[#This Row],[Land-DB]]^1.299 + IF(TblExplore[[#This Row],[Land-DB]]&lt;1520, (-0.001*(TblExplore[[#This Row],[Land-DB]]^2)+1.91*TblExplore[[#This Row],[Land-DB]]-593), 0))*(1+ tech_2_6*Techs!AC36 + tech_2_9*Techs!AF36 + tech_3_7*Techs!AN36 + Overview!$I$33),0)</f>
        <v>-126</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-823</v>
      </c>
    </row>
    <row r="37" spans="1:36" x14ac:dyDescent="0.2">
      <c r="A37" s="175">
        <f>TblRezone[[#This Row],[Hour]]</f>
        <v>34</v>
      </c>
      <c r="B37" s="214">
        <f ca="1">TblConstr[[#This Row],[Land]]</f>
        <v>110</v>
      </c>
      <c r="C37" s="215"/>
      <c r="D37" s="216">
        <f ca="1">TblConstr[[#This Row],[Plain]]</f>
        <v>60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110</v>
      </c>
      <c r="R37" s="175">
        <f>TblExplore[[#This Row],[Hour]]</f>
        <v>34</v>
      </c>
      <c r="S37" s="218"/>
      <c r="T37" s="179"/>
      <c r="U37" s="179"/>
      <c r="V37" s="179"/>
      <c r="W37" s="179"/>
      <c r="X37" s="179"/>
      <c r="Y37" s="179"/>
      <c r="Z37" s="179"/>
      <c r="AA37" s="159">
        <f ca="1">TblImps[[#This Row],[Real time]]</f>
        <v>46103.12499999992</v>
      </c>
      <c r="AB37" s="94">
        <f ca="1">TblMili[[#This Row],[Draftees]]</f>
        <v>356</v>
      </c>
      <c r="AC37" s="94">
        <f ca="1">TblProd[[#This Row],[Platinum]]</f>
        <v>105625</v>
      </c>
      <c r="AD37" s="215"/>
      <c r="AE37" s="45">
        <f ca="1">TblExplore[[#This Row],[Land]]-TblExplore[[#This Row],[Land Bonus]]*20</f>
        <v>110</v>
      </c>
      <c r="AF37" s="94">
        <f ca="1">ROUND((0.6*TblExplore[[#This Row],[Land-DB]]^1.299 + IF(TblExplore[[#This Row],[Land-DB]]&lt;1520, (-0.001*(TblExplore[[#This Row],[Land-DB]]^2)+1.91*TblExplore[[#This Row],[Land-DB]]-593), 0))*(1+ tech_2_6*Techs!AC37 + tech_2_9*Techs!AF37 + tech_3_7*Techs!AN37 + Overview!$I$33),0)</f>
        <v>-126</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-839</v>
      </c>
    </row>
    <row r="38" spans="1:36" x14ac:dyDescent="0.2">
      <c r="A38" s="175">
        <f>TblRezone[[#This Row],[Hour]]</f>
        <v>35</v>
      </c>
      <c r="B38" s="214">
        <f ca="1">TblConstr[[#This Row],[Land]]</f>
        <v>110</v>
      </c>
      <c r="C38" s="215"/>
      <c r="D38" s="216">
        <f ca="1">TblConstr[[#This Row],[Plain]]</f>
        <v>60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110</v>
      </c>
      <c r="R38" s="175">
        <f>TblExplore[[#This Row],[Hour]]</f>
        <v>35</v>
      </c>
      <c r="S38" s="218"/>
      <c r="T38" s="158"/>
      <c r="U38" s="179"/>
      <c r="V38" s="179"/>
      <c r="W38" s="179"/>
      <c r="X38" s="179"/>
      <c r="Y38" s="179"/>
      <c r="Z38" s="179"/>
      <c r="AA38" s="159">
        <f ca="1">TblImps[[#This Row],[Real time]]</f>
        <v>46103.166666666584</v>
      </c>
      <c r="AB38" s="94">
        <f ca="1">TblMili[[#This Row],[Draftees]]</f>
        <v>363</v>
      </c>
      <c r="AC38" s="94">
        <f ca="1">TblProd[[#This Row],[Platinum]]</f>
        <v>107569</v>
      </c>
      <c r="AD38" s="215"/>
      <c r="AE38" s="45">
        <f ca="1">TblExplore[[#This Row],[Land]]-TblExplore[[#This Row],[Land Bonus]]*20</f>
        <v>110</v>
      </c>
      <c r="AF38" s="94">
        <f ca="1">ROUND((0.6*TblExplore[[#This Row],[Land-DB]]^1.299 + IF(TblExplore[[#This Row],[Land-DB]]&lt;1520, (-0.001*(TblExplore[[#This Row],[Land-DB]]^2)+1.91*TblExplore[[#This Row],[Land-DB]]-593), 0))*(1+ tech_2_6*Techs!AC38 + tech_2_9*Techs!AF38 + tech_3_7*Techs!AN38 + Overview!$I$33),0)</f>
        <v>-126</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-854</v>
      </c>
    </row>
    <row r="39" spans="1:36" x14ac:dyDescent="0.2">
      <c r="A39" s="175">
        <f>TblRezone[[#This Row],[Hour]]</f>
        <v>36</v>
      </c>
      <c r="B39" s="214">
        <f ca="1">TblConstr[[#This Row],[Land]]</f>
        <v>110</v>
      </c>
      <c r="C39" s="215"/>
      <c r="D39" s="216">
        <f ca="1">TblConstr[[#This Row],[Plain]]</f>
        <v>60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110</v>
      </c>
      <c r="R39" s="175">
        <f>TblExplore[[#This Row],[Hour]]</f>
        <v>36</v>
      </c>
      <c r="S39" s="218"/>
      <c r="T39" s="179"/>
      <c r="U39" s="179"/>
      <c r="V39" s="179"/>
      <c r="W39" s="179"/>
      <c r="X39" s="179"/>
      <c r="Y39" s="179"/>
      <c r="Z39" s="179"/>
      <c r="AA39" s="159">
        <f ca="1">TblImps[[#This Row],[Real time]]</f>
        <v>46103.208333333248</v>
      </c>
      <c r="AB39" s="94">
        <f ca="1">TblMili[[#This Row],[Draftees]]</f>
        <v>370</v>
      </c>
      <c r="AC39" s="94">
        <f ca="1">TblProd[[#This Row],[Platinum]]</f>
        <v>109494</v>
      </c>
      <c r="AD39" s="215"/>
      <c r="AE39" s="45">
        <f ca="1">TblExplore[[#This Row],[Land]]-TblExplore[[#This Row],[Land Bonus]]*20</f>
        <v>110</v>
      </c>
      <c r="AF39" s="94">
        <f ca="1">ROUND((0.6*TblExplore[[#This Row],[Land-DB]]^1.299 + IF(TblExplore[[#This Row],[Land-DB]]&lt;1520, (-0.001*(TblExplore[[#This Row],[Land-DB]]^2)+1.91*TblExplore[[#This Row],[Land-DB]]-593), 0))*(1+ tech_2_6*Techs!AC39 + tech_2_9*Techs!AF39 + tech_3_7*Techs!AN39 + Overview!$I$33),0)</f>
        <v>-126</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-869</v>
      </c>
    </row>
    <row r="40" spans="1:36" s="5" customFormat="1" ht="12.75" customHeight="1" x14ac:dyDescent="0.2">
      <c r="A40" s="193">
        <f>TblRezone[[#This Row],[Hour]]</f>
        <v>37</v>
      </c>
      <c r="B40" s="230">
        <f ca="1">TblConstr[[#This Row],[Land]]</f>
        <v>110</v>
      </c>
      <c r="C40" s="231"/>
      <c r="D40" s="232">
        <f ca="1">TblConstr[[#This Row],[Plain]]</f>
        <v>60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110</v>
      </c>
      <c r="R40" s="193">
        <f>TblExplore[[#This Row],[Hour]]</f>
        <v>37</v>
      </c>
      <c r="S40" s="233"/>
      <c r="T40" s="201"/>
      <c r="U40" s="201"/>
      <c r="V40" s="201"/>
      <c r="W40" s="201"/>
      <c r="X40" s="201"/>
      <c r="Y40" s="201"/>
      <c r="Z40" s="201"/>
      <c r="AA40" s="167">
        <f ca="1">TblImps[[#This Row],[Real time]]</f>
        <v>46103.249999999913</v>
      </c>
      <c r="AB40" s="35">
        <f ca="1">TblMili[[#This Row],[Draftees]]</f>
        <v>377</v>
      </c>
      <c r="AC40" s="35">
        <f ca="1">TblProd[[#This Row],[Platinum]]</f>
        <v>111400</v>
      </c>
      <c r="AD40" s="231"/>
      <c r="AE40" s="5">
        <f ca="1">TblExplore[[#This Row],[Land]]-TblExplore[[#This Row],[Land Bonus]]*20</f>
        <v>110</v>
      </c>
      <c r="AF40" s="35">
        <f ca="1">ROUND((0.6*TblExplore[[#This Row],[Land-DB]]^1.299 + IF(TblExplore[[#This Row],[Land-DB]]&lt;1520, (-0.001*(TblExplore[[#This Row],[Land-DB]]^2)+1.91*TblExplore[[#This Row],[Land-DB]]-593), 0))*(1+ tech_2_6*Techs!AC40 + tech_2_9*Techs!AF40 + tech_3_7*Techs!AN40 + Overview!$I$33),0)</f>
        <v>-126</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-885</v>
      </c>
    </row>
    <row r="41" spans="1:36" x14ac:dyDescent="0.2">
      <c r="A41" s="175">
        <f>TblRezone[[#This Row],[Hour]]</f>
        <v>38</v>
      </c>
      <c r="B41" s="214">
        <f ca="1">TblConstr[[#This Row],[Land]]</f>
        <v>110</v>
      </c>
      <c r="C41" s="215"/>
      <c r="D41" s="216">
        <f ca="1">TblConstr[[#This Row],[Plain]]</f>
        <v>60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110</v>
      </c>
      <c r="R41" s="175">
        <f>TblExplore[[#This Row],[Hour]]</f>
        <v>38</v>
      </c>
      <c r="S41" s="218"/>
      <c r="T41" s="179"/>
      <c r="U41" s="179"/>
      <c r="V41" s="179"/>
      <c r="W41" s="179"/>
      <c r="X41" s="179"/>
      <c r="Y41" s="179"/>
      <c r="Z41" s="179"/>
      <c r="AA41" s="159">
        <f ca="1">TblImps[[#This Row],[Real time]]</f>
        <v>46103.291666666577</v>
      </c>
      <c r="AB41" s="94">
        <f ca="1">TblMili[[#This Row],[Draftees]]</f>
        <v>384</v>
      </c>
      <c r="AC41" s="94">
        <f ca="1">TblProd[[#This Row],[Platinum]]</f>
        <v>113287</v>
      </c>
      <c r="AD41" s="215"/>
      <c r="AE41" s="45">
        <f ca="1">TblExplore[[#This Row],[Land]]-TblExplore[[#This Row],[Land Bonus]]*20</f>
        <v>110</v>
      </c>
      <c r="AF41" s="94">
        <f ca="1">ROUND((0.6*TblExplore[[#This Row],[Land-DB]]^1.299 + IF(TblExplore[[#This Row],[Land-DB]]&lt;1520, (-0.001*(TblExplore[[#This Row],[Land-DB]]^2)+1.91*TblExplore[[#This Row],[Land-DB]]-593), 0))*(1+ tech_2_6*Techs!AC41 + tech_2_9*Techs!AF41 + tech_3_7*Techs!AN41 + Overview!$I$33),0)</f>
        <v>-126</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-900</v>
      </c>
    </row>
    <row r="42" spans="1:36" x14ac:dyDescent="0.2">
      <c r="A42" s="175">
        <f>TblRezone[[#This Row],[Hour]]</f>
        <v>39</v>
      </c>
      <c r="B42" s="214">
        <f ca="1">TblConstr[[#This Row],[Land]]</f>
        <v>110</v>
      </c>
      <c r="C42" s="215"/>
      <c r="D42" s="216">
        <f ca="1">TblConstr[[#This Row],[Plain]]</f>
        <v>60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110</v>
      </c>
      <c r="R42" s="175">
        <f>TblExplore[[#This Row],[Hour]]</f>
        <v>39</v>
      </c>
      <c r="S42" s="218"/>
      <c r="T42" s="179"/>
      <c r="U42" s="179"/>
      <c r="V42" s="179"/>
      <c r="W42" s="179"/>
      <c r="X42" s="179"/>
      <c r="Y42" s="179"/>
      <c r="Z42" s="179"/>
      <c r="AA42" s="159">
        <f ca="1">TblImps[[#This Row],[Real time]]</f>
        <v>46103.333333333241</v>
      </c>
      <c r="AB42" s="94">
        <f ca="1">TblMili[[#This Row],[Draftees]]</f>
        <v>391</v>
      </c>
      <c r="AC42" s="94">
        <f ca="1">TblProd[[#This Row],[Platinum]]</f>
        <v>115155</v>
      </c>
      <c r="AD42" s="215"/>
      <c r="AE42" s="45">
        <f ca="1">TblExplore[[#This Row],[Land]]-TblExplore[[#This Row],[Land Bonus]]*20</f>
        <v>110</v>
      </c>
      <c r="AF42" s="94">
        <f ca="1">ROUND((0.6*TblExplore[[#This Row],[Land-DB]]^1.299 + IF(TblExplore[[#This Row],[Land-DB]]&lt;1520, (-0.001*(TblExplore[[#This Row],[Land-DB]]^2)+1.91*TblExplore[[#This Row],[Land-DB]]-593), 0))*(1+ tech_2_6*Techs!AC42 + tech_2_9*Techs!AF42 + tech_3_7*Techs!AN42 + Overview!$I$33),0)</f>
        <v>-126</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-914</v>
      </c>
    </row>
    <row r="43" spans="1:36" x14ac:dyDescent="0.2">
      <c r="A43" s="175">
        <f>TblRezone[[#This Row],[Hour]]</f>
        <v>40</v>
      </c>
      <c r="B43" s="214">
        <f ca="1">TblConstr[[#This Row],[Land]]</f>
        <v>110</v>
      </c>
      <c r="C43" s="215"/>
      <c r="D43" s="216">
        <f ca="1">TblConstr[[#This Row],[Plain]]</f>
        <v>60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110</v>
      </c>
      <c r="R43" s="175">
        <f>TblExplore[[#This Row],[Hour]]</f>
        <v>40</v>
      </c>
      <c r="S43" s="218"/>
      <c r="T43" s="179"/>
      <c r="U43" s="179"/>
      <c r="V43" s="179"/>
      <c r="W43" s="179"/>
      <c r="X43" s="179"/>
      <c r="Y43" s="179"/>
      <c r="Z43" s="179"/>
      <c r="AA43" s="159">
        <f ca="1">TblImps[[#This Row],[Real time]]</f>
        <v>46103.374999999905</v>
      </c>
      <c r="AB43" s="94">
        <f ca="1">TblMili[[#This Row],[Draftees]]</f>
        <v>398</v>
      </c>
      <c r="AC43" s="94">
        <f ca="1">TblProd[[#This Row],[Platinum]]</f>
        <v>117004</v>
      </c>
      <c r="AD43" s="215"/>
      <c r="AE43" s="45">
        <f ca="1">TblExplore[[#This Row],[Land]]-TblExplore[[#This Row],[Land Bonus]]*20</f>
        <v>110</v>
      </c>
      <c r="AF43" s="94">
        <f ca="1">ROUND((0.6*TblExplore[[#This Row],[Land-DB]]^1.299 + IF(TblExplore[[#This Row],[Land-DB]]&lt;1520, (-0.001*(TblExplore[[#This Row],[Land-DB]]^2)+1.91*TblExplore[[#This Row],[Land-DB]]-593), 0))*(1+ tech_2_6*Techs!AC43 + tech_2_9*Techs!AF43 + tech_3_7*Techs!AN43 + Overview!$I$33),0)</f>
        <v>-126</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-929</v>
      </c>
    </row>
    <row r="44" spans="1:36" x14ac:dyDescent="0.2">
      <c r="A44" s="175">
        <f>TblRezone[[#This Row],[Hour]]</f>
        <v>41</v>
      </c>
      <c r="B44" s="214">
        <f ca="1">TblConstr[[#This Row],[Land]]</f>
        <v>110</v>
      </c>
      <c r="C44" s="215"/>
      <c r="D44" s="216">
        <f ca="1">TblConstr[[#This Row],[Plain]]</f>
        <v>60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110</v>
      </c>
      <c r="R44" s="175">
        <f>TblExplore[[#This Row],[Hour]]</f>
        <v>41</v>
      </c>
      <c r="S44" s="218"/>
      <c r="T44" s="179"/>
      <c r="U44" s="179"/>
      <c r="V44" s="179"/>
      <c r="W44" s="179"/>
      <c r="X44" s="179"/>
      <c r="Y44" s="179"/>
      <c r="Z44" s="179"/>
      <c r="AA44" s="159">
        <f ca="1">TblImps[[#This Row],[Real time]]</f>
        <v>46103.41666666657</v>
      </c>
      <c r="AB44" s="94">
        <f ca="1">TblMili[[#This Row],[Draftees]]</f>
        <v>405</v>
      </c>
      <c r="AC44" s="94">
        <f ca="1">TblProd[[#This Row],[Platinum]]</f>
        <v>118834</v>
      </c>
      <c r="AD44" s="215"/>
      <c r="AE44" s="45">
        <f ca="1">TblExplore[[#This Row],[Land]]-TblExplore[[#This Row],[Land Bonus]]*20</f>
        <v>110</v>
      </c>
      <c r="AF44" s="94">
        <f ca="1">ROUND((0.6*TblExplore[[#This Row],[Land-DB]]^1.299 + IF(TblExplore[[#This Row],[Land-DB]]&lt;1520, (-0.001*(TblExplore[[#This Row],[Land-DB]]^2)+1.91*TblExplore[[#This Row],[Land-DB]]-593), 0))*(1+ tech_2_6*Techs!AC44 + tech_2_9*Techs!AF44 + tech_3_7*Techs!AN44 + Overview!$I$33),0)</f>
        <v>-126</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-944</v>
      </c>
    </row>
    <row r="45" spans="1:36" x14ac:dyDescent="0.2">
      <c r="A45" s="175">
        <f>TblRezone[[#This Row],[Hour]]</f>
        <v>42</v>
      </c>
      <c r="B45" s="214">
        <f ca="1">TblConstr[[#This Row],[Land]]</f>
        <v>110</v>
      </c>
      <c r="C45" s="215"/>
      <c r="D45" s="216">
        <f ca="1">TblConstr[[#This Row],[Plain]]</f>
        <v>60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110</v>
      </c>
      <c r="R45" s="175">
        <f>TblExplore[[#This Row],[Hour]]</f>
        <v>42</v>
      </c>
      <c r="S45" s="218"/>
      <c r="T45" s="179"/>
      <c r="U45" s="179"/>
      <c r="V45" s="179"/>
      <c r="W45" s="179"/>
      <c r="X45" s="179"/>
      <c r="Y45" s="179"/>
      <c r="Z45" s="179"/>
      <c r="AA45" s="159">
        <f ca="1">TblImps[[#This Row],[Real time]]</f>
        <v>46103.458333333234</v>
      </c>
      <c r="AB45" s="94">
        <f ca="1">TblMili[[#This Row],[Draftees]]</f>
        <v>412</v>
      </c>
      <c r="AC45" s="94">
        <f ca="1">TblProd[[#This Row],[Platinum]]</f>
        <v>120645</v>
      </c>
      <c r="AD45" s="215"/>
      <c r="AE45" s="45">
        <f ca="1">TblExplore[[#This Row],[Land]]-TblExplore[[#This Row],[Land Bonus]]*20</f>
        <v>110</v>
      </c>
      <c r="AF45" s="94">
        <f ca="1">ROUND((0.6*TblExplore[[#This Row],[Land-DB]]^1.299 + IF(TblExplore[[#This Row],[Land-DB]]&lt;1520, (-0.001*(TblExplore[[#This Row],[Land-DB]]^2)+1.91*TblExplore[[#This Row],[Land-DB]]-593), 0))*(1+ tech_2_6*Techs!AC45 + tech_2_9*Techs!AF45 + tech_3_7*Techs!AN45 + Overview!$I$33),0)</f>
        <v>-126</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-958</v>
      </c>
    </row>
    <row r="46" spans="1:36" x14ac:dyDescent="0.2">
      <c r="A46" s="175">
        <f>TblRezone[[#This Row],[Hour]]</f>
        <v>43</v>
      </c>
      <c r="B46" s="214">
        <f ca="1">TblConstr[[#This Row],[Land]]</f>
        <v>110</v>
      </c>
      <c r="C46" s="215"/>
      <c r="D46" s="216">
        <f ca="1">TblConstr[[#This Row],[Plain]]</f>
        <v>60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110</v>
      </c>
      <c r="R46" s="175">
        <f>TblExplore[[#This Row],[Hour]]</f>
        <v>43</v>
      </c>
      <c r="S46" s="218"/>
      <c r="T46" s="179"/>
      <c r="U46" s="179"/>
      <c r="V46" s="179"/>
      <c r="W46" s="179"/>
      <c r="X46" s="179"/>
      <c r="Y46" s="179"/>
      <c r="Z46" s="179"/>
      <c r="AA46" s="159">
        <f ca="1">TblImps[[#This Row],[Real time]]</f>
        <v>46103.499999999898</v>
      </c>
      <c r="AB46" s="94">
        <f ca="1">TblMili[[#This Row],[Draftees]]</f>
        <v>419</v>
      </c>
      <c r="AC46" s="94">
        <f ca="1">TblProd[[#This Row],[Platinum]]</f>
        <v>122437</v>
      </c>
      <c r="AD46" s="215"/>
      <c r="AE46" s="45">
        <f ca="1">TblExplore[[#This Row],[Land]]-TblExplore[[#This Row],[Land Bonus]]*20</f>
        <v>110</v>
      </c>
      <c r="AF46" s="94">
        <f ca="1">ROUND((0.6*TblExplore[[#This Row],[Land-DB]]^1.299 + IF(TblExplore[[#This Row],[Land-DB]]&lt;1520, (-0.001*(TblExplore[[#This Row],[Land-DB]]^2)+1.91*TblExplore[[#This Row],[Land-DB]]-593), 0))*(1+ tech_2_6*Techs!AC46 + tech_2_9*Techs!AF46 + tech_3_7*Techs!AN46 + Overview!$I$33),0)</f>
        <v>-126</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-972</v>
      </c>
    </row>
    <row r="47" spans="1:36" x14ac:dyDescent="0.2">
      <c r="A47" s="175">
        <f>TblRezone[[#This Row],[Hour]]</f>
        <v>44</v>
      </c>
      <c r="B47" s="214">
        <f ca="1">TblConstr[[#This Row],[Land]]</f>
        <v>110</v>
      </c>
      <c r="C47" s="215"/>
      <c r="D47" s="216">
        <f ca="1">TblConstr[[#This Row],[Plain]]</f>
        <v>60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110</v>
      </c>
      <c r="R47" s="175">
        <f>TblExplore[[#This Row],[Hour]]</f>
        <v>44</v>
      </c>
      <c r="S47" s="218"/>
      <c r="T47" s="179"/>
      <c r="U47" s="179"/>
      <c r="V47" s="179"/>
      <c r="W47" s="179"/>
      <c r="X47" s="179"/>
      <c r="Y47" s="179"/>
      <c r="Z47" s="179"/>
      <c r="AA47" s="159">
        <f ca="1">TblImps[[#This Row],[Real time]]</f>
        <v>46103.541666666562</v>
      </c>
      <c r="AB47" s="94">
        <f ca="1">TblMili[[#This Row],[Draftees]]</f>
        <v>426</v>
      </c>
      <c r="AC47" s="94">
        <f ca="1">TblProd[[#This Row],[Platinum]]</f>
        <v>124210</v>
      </c>
      <c r="AD47" s="215"/>
      <c r="AE47" s="45">
        <f ca="1">TblExplore[[#This Row],[Land]]-TblExplore[[#This Row],[Land Bonus]]*20</f>
        <v>110</v>
      </c>
      <c r="AF47" s="94">
        <f ca="1">ROUND((0.6*TblExplore[[#This Row],[Land-DB]]^1.299 + IF(TblExplore[[#This Row],[Land-DB]]&lt;1520, (-0.001*(TblExplore[[#This Row],[Land-DB]]^2)+1.91*TblExplore[[#This Row],[Land-DB]]-593), 0))*(1+ tech_2_6*Techs!AC47 + tech_2_9*Techs!AF47 + tech_3_7*Techs!AN47 + Overview!$I$33),0)</f>
        <v>-126</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-986</v>
      </c>
    </row>
    <row r="48" spans="1:36" x14ac:dyDescent="0.2">
      <c r="A48" s="175">
        <f>TblRezone[[#This Row],[Hour]]</f>
        <v>45</v>
      </c>
      <c r="B48" s="214">
        <f ca="1">TblConstr[[#This Row],[Land]]</f>
        <v>110</v>
      </c>
      <c r="C48" s="215"/>
      <c r="D48" s="216">
        <f ca="1">TblConstr[[#This Row],[Plain]]</f>
        <v>60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110</v>
      </c>
      <c r="R48" s="175">
        <f>TblExplore[[#This Row],[Hour]]</f>
        <v>45</v>
      </c>
      <c r="S48" s="218"/>
      <c r="T48" s="179"/>
      <c r="U48" s="179"/>
      <c r="V48" s="179"/>
      <c r="W48" s="179"/>
      <c r="X48" s="179"/>
      <c r="Y48" s="179"/>
      <c r="Z48" s="179"/>
      <c r="AA48" s="159">
        <f ca="1">TblImps[[#This Row],[Real time]]</f>
        <v>46103.583333333227</v>
      </c>
      <c r="AB48" s="94">
        <f ca="1">TblMili[[#This Row],[Draftees]]</f>
        <v>433</v>
      </c>
      <c r="AC48" s="94">
        <f ca="1">TblProd[[#This Row],[Platinum]]</f>
        <v>125965</v>
      </c>
      <c r="AD48" s="215"/>
      <c r="AE48" s="45">
        <f ca="1">TblExplore[[#This Row],[Land]]-TblExplore[[#This Row],[Land Bonus]]*20</f>
        <v>110</v>
      </c>
      <c r="AF48" s="94">
        <f ca="1">ROUND((0.6*TblExplore[[#This Row],[Land-DB]]^1.299 + IF(TblExplore[[#This Row],[Land-DB]]&lt;1520, (-0.001*(TblExplore[[#This Row],[Land-DB]]^2)+1.91*TblExplore[[#This Row],[Land-DB]]-593), 0))*(1+ tech_2_6*Techs!AC48 + tech_2_9*Techs!AF48 + tech_3_7*Techs!AN48 + Overview!$I$33),0)</f>
        <v>-126</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-1000</v>
      </c>
    </row>
    <row r="49" spans="1:36" x14ac:dyDescent="0.2">
      <c r="A49" s="175">
        <f>TblRezone[[#This Row],[Hour]]</f>
        <v>46</v>
      </c>
      <c r="B49" s="214">
        <f ca="1">TblConstr[[#This Row],[Land]]</f>
        <v>110</v>
      </c>
      <c r="C49" s="215"/>
      <c r="D49" s="216">
        <f ca="1">TblConstr[[#This Row],[Plain]]</f>
        <v>60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110</v>
      </c>
      <c r="R49" s="175">
        <f>TblExplore[[#This Row],[Hour]]</f>
        <v>46</v>
      </c>
      <c r="S49" s="218"/>
      <c r="T49" s="179"/>
      <c r="U49" s="179"/>
      <c r="V49" s="179"/>
      <c r="W49" s="179"/>
      <c r="X49" s="179"/>
      <c r="Y49" s="179"/>
      <c r="Z49" s="179"/>
      <c r="AA49" s="159">
        <f ca="1">TblImps[[#This Row],[Real time]]</f>
        <v>46103.624999999891</v>
      </c>
      <c r="AB49" s="94">
        <f ca="1">TblMili[[#This Row],[Draftees]]</f>
        <v>439</v>
      </c>
      <c r="AC49" s="94">
        <f ca="1">TblProd[[#This Row],[Platinum]]</f>
        <v>127701</v>
      </c>
      <c r="AD49" s="215"/>
      <c r="AE49" s="45">
        <f ca="1">TblExplore[[#This Row],[Land]]-TblExplore[[#This Row],[Land Bonus]]*20</f>
        <v>110</v>
      </c>
      <c r="AF49" s="94">
        <f ca="1">ROUND((0.6*TblExplore[[#This Row],[Land-DB]]^1.299 + IF(TblExplore[[#This Row],[Land-DB]]&lt;1520, (-0.001*(TblExplore[[#This Row],[Land-DB]]^2)+1.91*TblExplore[[#This Row],[Land-DB]]-593), 0))*(1+ tech_2_6*Techs!AC49 + tech_2_9*Techs!AF49 + tech_3_7*Techs!AN49 + Overview!$I$33),0)</f>
        <v>-126</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-1014</v>
      </c>
    </row>
    <row r="50" spans="1:36" x14ac:dyDescent="0.2">
      <c r="A50" s="175">
        <f>TblRezone[[#This Row],[Hour]]</f>
        <v>47</v>
      </c>
      <c r="B50" s="214">
        <f ca="1">TblConstr[[#This Row],[Land]]</f>
        <v>110</v>
      </c>
      <c r="C50" s="215"/>
      <c r="D50" s="216">
        <f ca="1">TblConstr[[#This Row],[Plain]]</f>
        <v>60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110</v>
      </c>
      <c r="R50" s="175">
        <f>TblExplore[[#This Row],[Hour]]</f>
        <v>47</v>
      </c>
      <c r="S50" s="218"/>
      <c r="T50" s="179"/>
      <c r="U50" s="179"/>
      <c r="V50" s="179"/>
      <c r="W50" s="179"/>
      <c r="X50" s="179"/>
      <c r="Y50" s="179"/>
      <c r="Z50" s="179"/>
      <c r="AA50" s="159">
        <f ca="1">TblImps[[#This Row],[Real time]]</f>
        <v>46103.666666666555</v>
      </c>
      <c r="AB50" s="94">
        <f ca="1">TblMili[[#This Row],[Draftees]]</f>
        <v>445</v>
      </c>
      <c r="AC50" s="94">
        <f ca="1">TblProd[[#This Row],[Platinum]]</f>
        <v>129420</v>
      </c>
      <c r="AD50" s="215"/>
      <c r="AE50" s="45">
        <f ca="1">TblExplore[[#This Row],[Land]]-TblExplore[[#This Row],[Land Bonus]]*20</f>
        <v>110</v>
      </c>
      <c r="AF50" s="94">
        <f ca="1">ROUND((0.6*TblExplore[[#This Row],[Land-DB]]^1.299 + IF(TblExplore[[#This Row],[Land-DB]]&lt;1520, (-0.001*(TblExplore[[#This Row],[Land-DB]]^2)+1.91*TblExplore[[#This Row],[Land-DB]]-593), 0))*(1+ tech_2_6*Techs!AC50 + tech_2_9*Techs!AF50 + tech_3_7*Techs!AN50 + Overview!$I$33),0)</f>
        <v>-126</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-1028</v>
      </c>
    </row>
    <row r="51" spans="1:36" x14ac:dyDescent="0.2">
      <c r="A51" s="175">
        <f>TblRezone[[#This Row],[Hour]]</f>
        <v>48</v>
      </c>
      <c r="B51" s="214">
        <f ca="1">TblConstr[[#This Row],[Land]]</f>
        <v>110</v>
      </c>
      <c r="C51" s="215"/>
      <c r="D51" s="216">
        <f ca="1">TblConstr[[#This Row],[Plain]]</f>
        <v>60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110</v>
      </c>
      <c r="R51" s="175">
        <f>TblExplore[[#This Row],[Hour]]</f>
        <v>48</v>
      </c>
      <c r="S51" s="218"/>
      <c r="T51" s="179"/>
      <c r="U51" s="179"/>
      <c r="V51" s="179"/>
      <c r="W51" s="179"/>
      <c r="X51" s="179"/>
      <c r="Y51" s="179"/>
      <c r="Z51" s="179"/>
      <c r="AA51" s="159">
        <f ca="1">TblImps[[#This Row],[Real time]]</f>
        <v>46103.708333333219</v>
      </c>
      <c r="AB51" s="94">
        <f ca="1">TblMili[[#This Row],[Draftees]]</f>
        <v>451</v>
      </c>
      <c r="AC51" s="94">
        <f ca="1">TblProd[[#This Row],[Platinum]]</f>
        <v>131123</v>
      </c>
      <c r="AD51" s="215"/>
      <c r="AE51" s="45">
        <f ca="1">TblExplore[[#This Row],[Land]]-TblExplore[[#This Row],[Land Bonus]]*20</f>
        <v>110</v>
      </c>
      <c r="AF51" s="94">
        <f ca="1">ROUND((0.6*TblExplore[[#This Row],[Land-DB]]^1.299 + IF(TblExplore[[#This Row],[Land-DB]]&lt;1520, (-0.001*(TblExplore[[#This Row],[Land-DB]]^2)+1.91*TblExplore[[#This Row],[Land-DB]]-593), 0))*(1+ tech_2_6*Techs!AC51 + tech_2_9*Techs!AF51 + tech_3_7*Techs!AN51 + Overview!$I$33),0)</f>
        <v>-126</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-1041</v>
      </c>
    </row>
    <row r="52" spans="1:36" x14ac:dyDescent="0.2">
      <c r="A52" s="175">
        <f>TblRezone[[#This Row],[Hour]]</f>
        <v>49</v>
      </c>
      <c r="B52" s="214">
        <f ca="1">TblConstr[[#This Row],[Land]]</f>
        <v>110</v>
      </c>
      <c r="C52" s="215"/>
      <c r="D52" s="216">
        <f ca="1">TblConstr[[#This Row],[Plain]]</f>
        <v>60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110</v>
      </c>
      <c r="R52" s="175">
        <f>TblExplore[[#This Row],[Hour]]</f>
        <v>49</v>
      </c>
      <c r="S52" s="218"/>
      <c r="T52" s="179"/>
      <c r="U52" s="179"/>
      <c r="V52" s="179"/>
      <c r="W52" s="179"/>
      <c r="X52" s="179"/>
      <c r="Y52" s="179"/>
      <c r="Z52" s="179"/>
      <c r="AA52" s="159">
        <f ca="1">TblImps[[#This Row],[Real time]]</f>
        <v>46103.749999999884</v>
      </c>
      <c r="AB52" s="94">
        <f ca="1">TblMili[[#This Row],[Draftees]]</f>
        <v>457</v>
      </c>
      <c r="AC52" s="94">
        <f ca="1">TblProd[[#This Row],[Platinum]]</f>
        <v>132810</v>
      </c>
      <c r="AD52" s="215"/>
      <c r="AE52" s="45">
        <f ca="1">TblExplore[[#This Row],[Land]]-TblExplore[[#This Row],[Land Bonus]]*20</f>
        <v>110</v>
      </c>
      <c r="AF52" s="94">
        <f ca="1">ROUND((0.6*TblExplore[[#This Row],[Land-DB]]^1.299 + IF(TblExplore[[#This Row],[Land-DB]]&lt;1520, (-0.001*(TblExplore[[#This Row],[Land-DB]]^2)+1.91*TblExplore[[#This Row],[Land-DB]]-593), 0))*(1+ tech_2_6*Techs!AC52 + tech_2_9*Techs!AF52 + tech_3_7*Techs!AN52 + Overview!$I$33),0)</f>
        <v>-126</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-1055</v>
      </c>
    </row>
    <row r="53" spans="1:36" x14ac:dyDescent="0.2">
      <c r="A53" s="175">
        <f>TblRezone[[#This Row],[Hour]]</f>
        <v>50</v>
      </c>
      <c r="B53" s="214">
        <f ca="1">TblConstr[[#This Row],[Land]]</f>
        <v>110</v>
      </c>
      <c r="C53" s="215"/>
      <c r="D53" s="216">
        <f ca="1">TblConstr[[#This Row],[Plain]]</f>
        <v>60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110</v>
      </c>
      <c r="R53" s="175">
        <f>TblExplore[[#This Row],[Hour]]</f>
        <v>50</v>
      </c>
      <c r="S53" s="218"/>
      <c r="T53" s="179"/>
      <c r="U53" s="179"/>
      <c r="V53" s="179"/>
      <c r="W53" s="179"/>
      <c r="X53" s="179"/>
      <c r="Y53" s="179"/>
      <c r="Z53" s="179"/>
      <c r="AA53" s="159">
        <f ca="1">TblImps[[#This Row],[Real time]]</f>
        <v>46103.791666666548</v>
      </c>
      <c r="AB53" s="94">
        <f ca="1">TblMili[[#This Row],[Draftees]]</f>
        <v>463</v>
      </c>
      <c r="AC53" s="94">
        <f ca="1">TblProd[[#This Row],[Platinum]]</f>
        <v>134481</v>
      </c>
      <c r="AD53" s="215"/>
      <c r="AE53" s="45">
        <f ca="1">TblExplore[[#This Row],[Land]]-TblExplore[[#This Row],[Land Bonus]]*20</f>
        <v>110</v>
      </c>
      <c r="AF53" s="94">
        <f ca="1">ROUND((0.6*TblExplore[[#This Row],[Land-DB]]^1.299 + IF(TblExplore[[#This Row],[Land-DB]]&lt;1520, (-0.001*(TblExplore[[#This Row],[Land-DB]]^2)+1.91*TblExplore[[#This Row],[Land-DB]]-593), 0))*(1+ tech_2_6*Techs!AC53 + tech_2_9*Techs!AF53 + tech_3_7*Techs!AN53 + Overview!$I$33),0)</f>
        <v>-126</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-1068</v>
      </c>
    </row>
    <row r="54" spans="1:36" x14ac:dyDescent="0.2">
      <c r="A54" s="175">
        <f>TblRezone[[#This Row],[Hour]]</f>
        <v>51</v>
      </c>
      <c r="B54" s="214">
        <f ca="1">TblConstr[[#This Row],[Land]]</f>
        <v>110</v>
      </c>
      <c r="C54" s="215"/>
      <c r="D54" s="216">
        <f ca="1">TblConstr[[#This Row],[Plain]]</f>
        <v>60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110</v>
      </c>
      <c r="R54" s="175">
        <f>TblExplore[[#This Row],[Hour]]</f>
        <v>51</v>
      </c>
      <c r="S54" s="218"/>
      <c r="T54" s="179"/>
      <c r="U54" s="179"/>
      <c r="V54" s="179"/>
      <c r="W54" s="179"/>
      <c r="X54" s="179"/>
      <c r="Y54" s="179"/>
      <c r="Z54" s="179"/>
      <c r="AA54" s="159">
        <f ca="1">TblImps[[#This Row],[Real time]]</f>
        <v>46103.833333333212</v>
      </c>
      <c r="AB54" s="94">
        <f ca="1">TblMili[[#This Row],[Draftees]]</f>
        <v>469</v>
      </c>
      <c r="AC54" s="94">
        <f ca="1">TblProd[[#This Row],[Platinum]]</f>
        <v>136136</v>
      </c>
      <c r="AD54" s="215"/>
      <c r="AE54" s="45">
        <f ca="1">TblExplore[[#This Row],[Land]]-TblExplore[[#This Row],[Land Bonus]]*20</f>
        <v>110</v>
      </c>
      <c r="AF54" s="94">
        <f ca="1">ROUND((0.6*TblExplore[[#This Row],[Land-DB]]^1.299 + IF(TblExplore[[#This Row],[Land-DB]]&lt;1520, (-0.001*(TblExplore[[#This Row],[Land-DB]]^2)+1.91*TblExplore[[#This Row],[Land-DB]]-593), 0))*(1+ tech_2_6*Techs!AC54 + tech_2_9*Techs!AF54 + tech_3_7*Techs!AN54 + Overview!$I$33),0)</f>
        <v>-126</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-1081</v>
      </c>
    </row>
    <row r="55" spans="1:36" x14ac:dyDescent="0.2">
      <c r="A55" s="175">
        <f>TblRezone[[#This Row],[Hour]]</f>
        <v>52</v>
      </c>
      <c r="B55" s="214">
        <f ca="1">TblConstr[[#This Row],[Land]]</f>
        <v>110</v>
      </c>
      <c r="C55" s="215"/>
      <c r="D55" s="216">
        <f ca="1">TblConstr[[#This Row],[Plain]]</f>
        <v>60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110</v>
      </c>
      <c r="R55" s="175">
        <f>TblExplore[[#This Row],[Hour]]</f>
        <v>52</v>
      </c>
      <c r="S55" s="218"/>
      <c r="T55" s="179"/>
      <c r="U55" s="179"/>
      <c r="V55" s="179"/>
      <c r="W55" s="179"/>
      <c r="X55" s="179"/>
      <c r="Y55" s="179"/>
      <c r="Z55" s="179"/>
      <c r="AA55" s="159">
        <f ca="1">TblImps[[#This Row],[Real time]]</f>
        <v>46103.874999999876</v>
      </c>
      <c r="AB55" s="94">
        <f ca="1">TblMili[[#This Row],[Draftees]]</f>
        <v>475</v>
      </c>
      <c r="AC55" s="94">
        <f ca="1">TblProd[[#This Row],[Platinum]]</f>
        <v>137774</v>
      </c>
      <c r="AD55" s="215"/>
      <c r="AE55" s="45">
        <f ca="1">TblExplore[[#This Row],[Land]]-TblExplore[[#This Row],[Land Bonus]]*20</f>
        <v>110</v>
      </c>
      <c r="AF55" s="94">
        <f ca="1">ROUND((0.6*TblExplore[[#This Row],[Land-DB]]^1.299 + IF(TblExplore[[#This Row],[Land-DB]]&lt;1520, (-0.001*(TblExplore[[#This Row],[Land-DB]]^2)+1.91*TblExplore[[#This Row],[Land-DB]]-593), 0))*(1+ tech_2_6*Techs!AC55 + tech_2_9*Techs!AF55 + tech_3_7*Techs!AN55 + Overview!$I$33),0)</f>
        <v>-126</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-1094</v>
      </c>
    </row>
    <row r="56" spans="1:36" x14ac:dyDescent="0.2">
      <c r="A56" s="175">
        <f>TblRezone[[#This Row],[Hour]]</f>
        <v>53</v>
      </c>
      <c r="B56" s="214">
        <f ca="1">TblConstr[[#This Row],[Land]]</f>
        <v>110</v>
      </c>
      <c r="C56" s="215"/>
      <c r="D56" s="216">
        <f ca="1">TblConstr[[#This Row],[Plain]]</f>
        <v>60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110</v>
      </c>
      <c r="R56" s="175">
        <f>TblExplore[[#This Row],[Hour]]</f>
        <v>53</v>
      </c>
      <c r="S56" s="218"/>
      <c r="T56" s="179"/>
      <c r="U56" s="179"/>
      <c r="V56" s="179"/>
      <c r="W56" s="179"/>
      <c r="X56" s="179"/>
      <c r="Y56" s="179"/>
      <c r="Z56" s="179"/>
      <c r="AA56" s="159">
        <f ca="1">TblImps[[#This Row],[Real time]]</f>
        <v>46103.916666666541</v>
      </c>
      <c r="AB56" s="94">
        <f ca="1">TblMili[[#This Row],[Draftees]]</f>
        <v>481</v>
      </c>
      <c r="AC56" s="94">
        <f ca="1">TblProd[[#This Row],[Platinum]]</f>
        <v>139396</v>
      </c>
      <c r="AD56" s="215"/>
      <c r="AE56" s="45">
        <f ca="1">TblExplore[[#This Row],[Land]]-TblExplore[[#This Row],[Land Bonus]]*20</f>
        <v>110</v>
      </c>
      <c r="AF56" s="94">
        <f ca="1">ROUND((0.6*TblExplore[[#This Row],[Land-DB]]^1.299 + IF(TblExplore[[#This Row],[Land-DB]]&lt;1520, (-0.001*(TblExplore[[#This Row],[Land-DB]]^2)+1.91*TblExplore[[#This Row],[Land-DB]]-593), 0))*(1+ tech_2_6*Techs!AC56 + tech_2_9*Techs!AF56 + tech_3_7*Techs!AN56 + Overview!$I$33),0)</f>
        <v>-126</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-1107</v>
      </c>
    </row>
    <row r="57" spans="1:36" x14ac:dyDescent="0.2">
      <c r="A57" s="175">
        <f>TblRezone[[#This Row],[Hour]]</f>
        <v>54</v>
      </c>
      <c r="B57" s="214">
        <f ca="1">TblConstr[[#This Row],[Land]]</f>
        <v>110</v>
      </c>
      <c r="C57" s="215"/>
      <c r="D57" s="216">
        <f ca="1">TblConstr[[#This Row],[Plain]]</f>
        <v>60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110</v>
      </c>
      <c r="R57" s="175">
        <f>TblExplore[[#This Row],[Hour]]</f>
        <v>54</v>
      </c>
      <c r="S57" s="218"/>
      <c r="T57" s="179"/>
      <c r="U57" s="179"/>
      <c r="V57" s="179"/>
      <c r="W57" s="179"/>
      <c r="X57" s="179"/>
      <c r="Y57" s="179"/>
      <c r="Z57" s="179"/>
      <c r="AA57" s="159">
        <f ca="1">TblImps[[#This Row],[Real time]]</f>
        <v>46103.958333333205</v>
      </c>
      <c r="AB57" s="94">
        <f ca="1">TblMili[[#This Row],[Draftees]]</f>
        <v>487</v>
      </c>
      <c r="AC57" s="94">
        <f ca="1">TblProd[[#This Row],[Platinum]]</f>
        <v>141002</v>
      </c>
      <c r="AD57" s="215"/>
      <c r="AE57" s="45">
        <f ca="1">TblExplore[[#This Row],[Land]]-TblExplore[[#This Row],[Land Bonus]]*20</f>
        <v>110</v>
      </c>
      <c r="AF57" s="94">
        <f ca="1">ROUND((0.6*TblExplore[[#This Row],[Land-DB]]^1.299 + IF(TblExplore[[#This Row],[Land-DB]]&lt;1520, (-0.001*(TblExplore[[#This Row],[Land-DB]]^2)+1.91*TblExplore[[#This Row],[Land-DB]]-593), 0))*(1+ tech_2_6*Techs!AC57 + tech_2_9*Techs!AF57 + tech_3_7*Techs!AN57 + Overview!$I$33),0)</f>
        <v>-126</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-1120</v>
      </c>
    </row>
    <row r="58" spans="1:36" x14ac:dyDescent="0.2">
      <c r="A58" s="175">
        <f>TblRezone[[#This Row],[Hour]]</f>
        <v>55</v>
      </c>
      <c r="B58" s="214">
        <f ca="1">TblConstr[[#This Row],[Land]]</f>
        <v>110</v>
      </c>
      <c r="C58" s="215"/>
      <c r="D58" s="216">
        <f ca="1">TblConstr[[#This Row],[Plain]]</f>
        <v>60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110</v>
      </c>
      <c r="R58" s="175">
        <f>TblExplore[[#This Row],[Hour]]</f>
        <v>55</v>
      </c>
      <c r="S58" s="218"/>
      <c r="T58" s="179"/>
      <c r="U58" s="179"/>
      <c r="V58" s="179"/>
      <c r="W58" s="179"/>
      <c r="X58" s="179"/>
      <c r="Y58" s="179"/>
      <c r="Z58" s="179"/>
      <c r="AA58" s="159">
        <f ca="1">TblImps[[#This Row],[Real time]]</f>
        <v>46103.999999999869</v>
      </c>
      <c r="AB58" s="94">
        <f ca="1">TblMili[[#This Row],[Draftees]]</f>
        <v>493</v>
      </c>
      <c r="AC58" s="94">
        <f ca="1">TblProd[[#This Row],[Platinum]]</f>
        <v>142592</v>
      </c>
      <c r="AD58" s="215"/>
      <c r="AE58" s="45">
        <f ca="1">TblExplore[[#This Row],[Land]]-TblExplore[[#This Row],[Land Bonus]]*20</f>
        <v>110</v>
      </c>
      <c r="AF58" s="94">
        <f ca="1">ROUND((0.6*TblExplore[[#This Row],[Land-DB]]^1.299 + IF(TblExplore[[#This Row],[Land-DB]]&lt;1520, (-0.001*(TblExplore[[#This Row],[Land-DB]]^2)+1.91*TblExplore[[#This Row],[Land-DB]]-593), 0))*(1+ tech_2_6*Techs!AC58 + tech_2_9*Techs!AF58 + tech_3_7*Techs!AN58 + Overview!$I$33),0)</f>
        <v>-126</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-1132</v>
      </c>
    </row>
    <row r="59" spans="1:36" x14ac:dyDescent="0.2">
      <c r="A59" s="175">
        <f>TblRezone[[#This Row],[Hour]]</f>
        <v>56</v>
      </c>
      <c r="B59" s="214">
        <f ca="1">TblConstr[[#This Row],[Land]]</f>
        <v>110</v>
      </c>
      <c r="C59" s="215"/>
      <c r="D59" s="216">
        <f ca="1">TblConstr[[#This Row],[Plain]]</f>
        <v>60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110</v>
      </c>
      <c r="R59" s="175">
        <f>TblExplore[[#This Row],[Hour]]</f>
        <v>56</v>
      </c>
      <c r="S59" s="218"/>
      <c r="T59" s="179"/>
      <c r="U59" s="179"/>
      <c r="V59" s="179"/>
      <c r="W59" s="179"/>
      <c r="X59" s="179"/>
      <c r="Y59" s="179"/>
      <c r="Z59" s="179"/>
      <c r="AA59" s="159">
        <f ca="1">TblImps[[#This Row],[Real time]]</f>
        <v>46104.041666666533</v>
      </c>
      <c r="AB59" s="94">
        <f ca="1">TblMili[[#This Row],[Draftees]]</f>
        <v>499</v>
      </c>
      <c r="AC59" s="94">
        <f ca="1">TblProd[[#This Row],[Platinum]]</f>
        <v>144166</v>
      </c>
      <c r="AD59" s="215"/>
      <c r="AE59" s="45">
        <f ca="1">TblExplore[[#This Row],[Land]]-TblExplore[[#This Row],[Land Bonus]]*20</f>
        <v>110</v>
      </c>
      <c r="AF59" s="94">
        <f ca="1">ROUND((0.6*TblExplore[[#This Row],[Land-DB]]^1.299 + IF(TblExplore[[#This Row],[Land-DB]]&lt;1520, (-0.001*(TblExplore[[#This Row],[Land-DB]]^2)+1.91*TblExplore[[#This Row],[Land-DB]]-593), 0))*(1+ tech_2_6*Techs!AC59 + tech_2_9*Techs!AF59 + tech_3_7*Techs!AN59 + Overview!$I$33),0)</f>
        <v>-126</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-1145</v>
      </c>
    </row>
    <row r="60" spans="1:36" x14ac:dyDescent="0.2">
      <c r="A60" s="175">
        <f>TblRezone[[#This Row],[Hour]]</f>
        <v>57</v>
      </c>
      <c r="B60" s="214">
        <f ca="1">TblConstr[[#This Row],[Land]]</f>
        <v>110</v>
      </c>
      <c r="C60" s="215"/>
      <c r="D60" s="216">
        <f ca="1">TblConstr[[#This Row],[Plain]]</f>
        <v>60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110</v>
      </c>
      <c r="R60" s="175">
        <f>TblExplore[[#This Row],[Hour]]</f>
        <v>57</v>
      </c>
      <c r="S60" s="218"/>
      <c r="T60" s="179"/>
      <c r="U60" s="179"/>
      <c r="V60" s="179"/>
      <c r="W60" s="179"/>
      <c r="X60" s="179"/>
      <c r="Y60" s="179"/>
      <c r="Z60" s="179"/>
      <c r="AA60" s="159">
        <f ca="1">TblImps[[#This Row],[Real time]]</f>
        <v>46104.083333333198</v>
      </c>
      <c r="AB60" s="94">
        <f ca="1">TblMili[[#This Row],[Draftees]]</f>
        <v>505</v>
      </c>
      <c r="AC60" s="94">
        <f ca="1">TblProd[[#This Row],[Platinum]]</f>
        <v>145723</v>
      </c>
      <c r="AD60" s="215"/>
      <c r="AE60" s="45">
        <f ca="1">TblExplore[[#This Row],[Land]]-TblExplore[[#This Row],[Land Bonus]]*20</f>
        <v>110</v>
      </c>
      <c r="AF60" s="94">
        <f ca="1">ROUND((0.6*TblExplore[[#This Row],[Land-DB]]^1.299 + IF(TblExplore[[#This Row],[Land-DB]]&lt;1520, (-0.001*(TblExplore[[#This Row],[Land-DB]]^2)+1.91*TblExplore[[#This Row],[Land-DB]]-593), 0))*(1+ tech_2_6*Techs!AC60 + tech_2_9*Techs!AF60 + tech_3_7*Techs!AN60 + Overview!$I$33),0)</f>
        <v>-126</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-1157</v>
      </c>
    </row>
    <row r="61" spans="1:36" x14ac:dyDescent="0.2">
      <c r="A61" s="175">
        <f>TblRezone[[#This Row],[Hour]]</f>
        <v>58</v>
      </c>
      <c r="B61" s="214">
        <f ca="1">TblConstr[[#This Row],[Land]]</f>
        <v>110</v>
      </c>
      <c r="C61" s="215"/>
      <c r="D61" s="216">
        <f ca="1">TblConstr[[#This Row],[Plain]]</f>
        <v>60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110</v>
      </c>
      <c r="R61" s="175">
        <f>TblExplore[[#This Row],[Hour]]</f>
        <v>58</v>
      </c>
      <c r="S61" s="218"/>
      <c r="T61" s="179"/>
      <c r="U61" s="179"/>
      <c r="V61" s="179"/>
      <c r="W61" s="179"/>
      <c r="X61" s="179"/>
      <c r="Y61" s="179"/>
      <c r="Z61" s="179"/>
      <c r="AA61" s="159">
        <f ca="1">TblImps[[#This Row],[Real time]]</f>
        <v>46104.124999999862</v>
      </c>
      <c r="AB61" s="94">
        <f ca="1">TblMili[[#This Row],[Draftees]]</f>
        <v>511</v>
      </c>
      <c r="AC61" s="94">
        <f ca="1">TblProd[[#This Row],[Platinum]]</f>
        <v>147264</v>
      </c>
      <c r="AD61" s="215"/>
      <c r="AE61" s="45">
        <f ca="1">TblExplore[[#This Row],[Land]]-TblExplore[[#This Row],[Land Bonus]]*20</f>
        <v>110</v>
      </c>
      <c r="AF61" s="94">
        <f ca="1">ROUND((0.6*TblExplore[[#This Row],[Land-DB]]^1.299 + IF(TblExplore[[#This Row],[Land-DB]]&lt;1520, (-0.001*(TblExplore[[#This Row],[Land-DB]]^2)+1.91*TblExplore[[#This Row],[Land-DB]]-593), 0))*(1+ tech_2_6*Techs!AC61 + tech_2_9*Techs!AF61 + tech_3_7*Techs!AN61 + Overview!$I$33),0)</f>
        <v>-126</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-1169</v>
      </c>
    </row>
    <row r="62" spans="1:36" x14ac:dyDescent="0.2">
      <c r="A62" s="175">
        <f>TblRezone[[#This Row],[Hour]]</f>
        <v>59</v>
      </c>
      <c r="B62" s="214">
        <f ca="1">TblConstr[[#This Row],[Land]]</f>
        <v>110</v>
      </c>
      <c r="C62" s="215"/>
      <c r="D62" s="216">
        <f ca="1">TblConstr[[#This Row],[Plain]]</f>
        <v>60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110</v>
      </c>
      <c r="R62" s="175">
        <f>TblExplore[[#This Row],[Hour]]</f>
        <v>59</v>
      </c>
      <c r="S62" s="218"/>
      <c r="T62" s="179"/>
      <c r="U62" s="179"/>
      <c r="V62" s="179"/>
      <c r="W62" s="179"/>
      <c r="X62" s="179"/>
      <c r="Y62" s="179"/>
      <c r="Z62" s="179"/>
      <c r="AA62" s="159">
        <f ca="1">TblImps[[#This Row],[Real time]]</f>
        <v>46104.166666666526</v>
      </c>
      <c r="AB62" s="94">
        <f ca="1">TblMili[[#This Row],[Draftees]]</f>
        <v>517</v>
      </c>
      <c r="AC62" s="94">
        <f ca="1">TblProd[[#This Row],[Platinum]]</f>
        <v>148789</v>
      </c>
      <c r="AD62" s="215"/>
      <c r="AE62" s="45">
        <f ca="1">TblExplore[[#This Row],[Land]]-TblExplore[[#This Row],[Land Bonus]]*20</f>
        <v>110</v>
      </c>
      <c r="AF62" s="94">
        <f ca="1">ROUND((0.6*TblExplore[[#This Row],[Land-DB]]^1.299 + IF(TblExplore[[#This Row],[Land-DB]]&lt;1520, (-0.001*(TblExplore[[#This Row],[Land-DB]]^2)+1.91*TblExplore[[#This Row],[Land-DB]]-593), 0))*(1+ tech_2_6*Techs!AC62 + tech_2_9*Techs!AF62 + tech_3_7*Techs!AN62 + Overview!$I$33),0)</f>
        <v>-126</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-1181</v>
      </c>
    </row>
    <row r="63" spans="1:36" x14ac:dyDescent="0.2">
      <c r="A63" s="175">
        <f>TblRezone[[#This Row],[Hour]]</f>
        <v>60</v>
      </c>
      <c r="B63" s="214">
        <f ca="1">TblConstr[[#This Row],[Land]]</f>
        <v>110</v>
      </c>
      <c r="C63" s="215"/>
      <c r="D63" s="216">
        <f ca="1">TblConstr[[#This Row],[Plain]]</f>
        <v>60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110</v>
      </c>
      <c r="R63" s="175">
        <f>TblExplore[[#This Row],[Hour]]</f>
        <v>60</v>
      </c>
      <c r="S63" s="218"/>
      <c r="T63" s="179"/>
      <c r="U63" s="179"/>
      <c r="V63" s="179"/>
      <c r="W63" s="179"/>
      <c r="X63" s="179"/>
      <c r="Y63" s="179"/>
      <c r="Z63" s="179"/>
      <c r="AA63" s="159">
        <f ca="1">TblImps[[#This Row],[Real time]]</f>
        <v>46104.20833333319</v>
      </c>
      <c r="AB63" s="94">
        <f ca="1">TblMili[[#This Row],[Draftees]]</f>
        <v>523</v>
      </c>
      <c r="AC63" s="94">
        <f ca="1">TblProd[[#This Row],[Platinum]]</f>
        <v>150298</v>
      </c>
      <c r="AD63" s="215"/>
      <c r="AE63" s="45">
        <f ca="1">TblExplore[[#This Row],[Land]]-TblExplore[[#This Row],[Land Bonus]]*20</f>
        <v>110</v>
      </c>
      <c r="AF63" s="94">
        <f ca="1">ROUND((0.6*TblExplore[[#This Row],[Land-DB]]^1.299 + IF(TblExplore[[#This Row],[Land-DB]]&lt;1520, (-0.001*(TblExplore[[#This Row],[Land-DB]]^2)+1.91*TblExplore[[#This Row],[Land-DB]]-593), 0))*(1+ tech_2_6*Techs!AC63 + tech_2_9*Techs!AF63 + tech_3_7*Techs!AN63 + Overview!$I$33),0)</f>
        <v>-126</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-1193</v>
      </c>
    </row>
    <row r="64" spans="1:36" x14ac:dyDescent="0.2">
      <c r="A64" s="175">
        <f>TblRezone[[#This Row],[Hour]]</f>
        <v>61</v>
      </c>
      <c r="B64" s="214">
        <f ca="1">TblConstr[[#This Row],[Land]]</f>
        <v>110</v>
      </c>
      <c r="C64" s="215"/>
      <c r="D64" s="216">
        <f ca="1">TblConstr[[#This Row],[Plain]]</f>
        <v>60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110</v>
      </c>
      <c r="R64" s="175">
        <f>TblExplore[[#This Row],[Hour]]</f>
        <v>61</v>
      </c>
      <c r="S64" s="218"/>
      <c r="T64" s="179"/>
      <c r="U64" s="179"/>
      <c r="V64" s="179"/>
      <c r="W64" s="179"/>
      <c r="X64" s="179"/>
      <c r="Y64" s="179"/>
      <c r="Z64" s="179"/>
      <c r="AA64" s="159">
        <f ca="1">TblImps[[#This Row],[Real time]]</f>
        <v>46104.249999999854</v>
      </c>
      <c r="AB64" s="94">
        <f ca="1">TblMili[[#This Row],[Draftees]]</f>
        <v>529</v>
      </c>
      <c r="AC64" s="94">
        <f ca="1">TblProd[[#This Row],[Platinum]]</f>
        <v>151791</v>
      </c>
      <c r="AD64" s="215"/>
      <c r="AE64" s="45">
        <f ca="1">TblExplore[[#This Row],[Land]]-TblExplore[[#This Row],[Land Bonus]]*20</f>
        <v>110</v>
      </c>
      <c r="AF64" s="94">
        <f ca="1">ROUND((0.6*TblExplore[[#This Row],[Land-DB]]^1.299 + IF(TblExplore[[#This Row],[Land-DB]]&lt;1520, (-0.001*(TblExplore[[#This Row],[Land-DB]]^2)+1.91*TblExplore[[#This Row],[Land-DB]]-593), 0))*(1+ tech_2_6*Techs!AC64 + tech_2_9*Techs!AF64 + tech_3_7*Techs!AN64 + Overview!$I$33),0)</f>
        <v>-126</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-1205</v>
      </c>
    </row>
    <row r="65" spans="1:36" x14ac:dyDescent="0.2">
      <c r="A65" s="175">
        <f>TblRezone[[#This Row],[Hour]]</f>
        <v>62</v>
      </c>
      <c r="B65" s="214">
        <f ca="1">TblConstr[[#This Row],[Land]]</f>
        <v>110</v>
      </c>
      <c r="C65" s="215"/>
      <c r="D65" s="216">
        <f ca="1">TblConstr[[#This Row],[Plain]]</f>
        <v>60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110</v>
      </c>
      <c r="R65" s="175">
        <f>TblExplore[[#This Row],[Hour]]</f>
        <v>62</v>
      </c>
      <c r="S65" s="218"/>
      <c r="T65" s="179"/>
      <c r="U65" s="179"/>
      <c r="V65" s="179"/>
      <c r="W65" s="179"/>
      <c r="X65" s="179"/>
      <c r="Y65" s="179"/>
      <c r="Z65" s="179"/>
      <c r="AA65" s="159">
        <f ca="1">TblImps[[#This Row],[Real time]]</f>
        <v>46104.291666666519</v>
      </c>
      <c r="AB65" s="94">
        <f ca="1">TblMili[[#This Row],[Draftees]]</f>
        <v>534</v>
      </c>
      <c r="AC65" s="94">
        <f ca="1">TblProd[[#This Row],[Platinum]]</f>
        <v>153267</v>
      </c>
      <c r="AD65" s="215"/>
      <c r="AE65" s="45">
        <f ca="1">TblExplore[[#This Row],[Land]]-TblExplore[[#This Row],[Land Bonus]]*20</f>
        <v>110</v>
      </c>
      <c r="AF65" s="94">
        <f ca="1">ROUND((0.6*TblExplore[[#This Row],[Land-DB]]^1.299 + IF(TblExplore[[#This Row],[Land-DB]]&lt;1520, (-0.001*(TblExplore[[#This Row],[Land-DB]]^2)+1.91*TblExplore[[#This Row],[Land-DB]]-593), 0))*(1+ tech_2_6*Techs!AC65 + tech_2_9*Techs!AF65 + tech_3_7*Techs!AN65 + Overview!$I$33),0)</f>
        <v>-126</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-1217</v>
      </c>
    </row>
    <row r="66" spans="1:36" x14ac:dyDescent="0.2">
      <c r="A66" s="175">
        <f>TblRezone[[#This Row],[Hour]]</f>
        <v>63</v>
      </c>
      <c r="B66" s="214">
        <f ca="1">TblConstr[[#This Row],[Land]]</f>
        <v>110</v>
      </c>
      <c r="C66" s="215"/>
      <c r="D66" s="216">
        <f ca="1">TblConstr[[#This Row],[Plain]]</f>
        <v>60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110</v>
      </c>
      <c r="R66" s="175">
        <f>TblExplore[[#This Row],[Hour]]</f>
        <v>63</v>
      </c>
      <c r="S66" s="218"/>
      <c r="T66" s="179"/>
      <c r="U66" s="179"/>
      <c r="V66" s="179"/>
      <c r="W66" s="179"/>
      <c r="X66" s="179"/>
      <c r="Y66" s="179"/>
      <c r="Z66" s="179"/>
      <c r="AA66" s="159">
        <f ca="1">TblImps[[#This Row],[Real time]]</f>
        <v>46104.333333333183</v>
      </c>
      <c r="AB66" s="94">
        <f ca="1">TblMili[[#This Row],[Draftees]]</f>
        <v>539</v>
      </c>
      <c r="AC66" s="94">
        <f ca="1">TblProd[[#This Row],[Platinum]]</f>
        <v>154730</v>
      </c>
      <c r="AD66" s="215"/>
      <c r="AE66" s="45">
        <f ca="1">TblExplore[[#This Row],[Land]]-TblExplore[[#This Row],[Land Bonus]]*20</f>
        <v>110</v>
      </c>
      <c r="AF66" s="94">
        <f ca="1">ROUND((0.6*TblExplore[[#This Row],[Land-DB]]^1.299 + IF(TblExplore[[#This Row],[Land-DB]]&lt;1520, (-0.001*(TblExplore[[#This Row],[Land-DB]]^2)+1.91*TblExplore[[#This Row],[Land-DB]]-593), 0))*(1+ tech_2_6*Techs!AC66 + tech_2_9*Techs!AF66 + tech_3_7*Techs!AN66 + Overview!$I$33),0)</f>
        <v>-126</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-1229</v>
      </c>
    </row>
    <row r="67" spans="1:36" x14ac:dyDescent="0.2">
      <c r="A67" s="175">
        <f>TblRezone[[#This Row],[Hour]]</f>
        <v>64</v>
      </c>
      <c r="B67" s="214">
        <f ca="1">TblConstr[[#This Row],[Land]]</f>
        <v>110</v>
      </c>
      <c r="C67" s="215"/>
      <c r="D67" s="216">
        <f ca="1">TblConstr[[#This Row],[Plain]]</f>
        <v>60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110</v>
      </c>
      <c r="R67" s="175">
        <f>TblExplore[[#This Row],[Hour]]</f>
        <v>64</v>
      </c>
      <c r="S67" s="218"/>
      <c r="T67" s="179"/>
      <c r="U67" s="179"/>
      <c r="V67" s="179"/>
      <c r="W67" s="179"/>
      <c r="X67" s="179"/>
      <c r="Y67" s="179"/>
      <c r="Z67" s="179"/>
      <c r="AA67" s="159">
        <f ca="1">TblImps[[#This Row],[Real time]]</f>
        <v>46104.374999999847</v>
      </c>
      <c r="AB67" s="94">
        <f ca="1">TblMili[[#This Row],[Draftees]]</f>
        <v>544</v>
      </c>
      <c r="AC67" s="94">
        <f ca="1">TblProd[[#This Row],[Platinum]]</f>
        <v>156179</v>
      </c>
      <c r="AD67" s="215"/>
      <c r="AE67" s="45">
        <f ca="1">TblExplore[[#This Row],[Land]]-TblExplore[[#This Row],[Land Bonus]]*20</f>
        <v>110</v>
      </c>
      <c r="AF67" s="94">
        <f ca="1">ROUND((0.6*TblExplore[[#This Row],[Land-DB]]^1.299 + IF(TblExplore[[#This Row],[Land-DB]]&lt;1520, (-0.001*(TblExplore[[#This Row],[Land-DB]]^2)+1.91*TblExplore[[#This Row],[Land-DB]]-593), 0))*(1+ tech_2_6*Techs!AC67 + tech_2_9*Techs!AF67 + tech_3_7*Techs!AN67 + Overview!$I$33),0)</f>
        <v>-126</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-1240</v>
      </c>
    </row>
    <row r="68" spans="1:36" x14ac:dyDescent="0.2">
      <c r="A68" s="175">
        <f>TblRezone[[#This Row],[Hour]]</f>
        <v>65</v>
      </c>
      <c r="B68" s="214">
        <f ca="1">TblConstr[[#This Row],[Land]]</f>
        <v>110</v>
      </c>
      <c r="C68" s="215"/>
      <c r="D68" s="216">
        <f ca="1">TblConstr[[#This Row],[Plain]]</f>
        <v>60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110</v>
      </c>
      <c r="R68" s="175">
        <f>TblExplore[[#This Row],[Hour]]</f>
        <v>65</v>
      </c>
      <c r="S68" s="218"/>
      <c r="T68" s="179"/>
      <c r="U68" s="179"/>
      <c r="V68" s="179"/>
      <c r="W68" s="179"/>
      <c r="X68" s="179"/>
      <c r="Y68" s="179"/>
      <c r="Z68" s="179"/>
      <c r="AA68" s="159">
        <f ca="1">TblImps[[#This Row],[Real time]]</f>
        <v>46104.416666666511</v>
      </c>
      <c r="AB68" s="94">
        <f ca="1">TblMili[[#This Row],[Draftees]]</f>
        <v>549</v>
      </c>
      <c r="AC68" s="94">
        <f ca="1">TblProd[[#This Row],[Platinum]]</f>
        <v>157615</v>
      </c>
      <c r="AD68" s="215"/>
      <c r="AE68" s="45">
        <f ca="1">TblExplore[[#This Row],[Land]]-TblExplore[[#This Row],[Land Bonus]]*20</f>
        <v>110</v>
      </c>
      <c r="AF68" s="94">
        <f ca="1">ROUND((0.6*TblExplore[[#This Row],[Land-DB]]^1.299 + IF(TblExplore[[#This Row],[Land-DB]]&lt;1520, (-0.001*(TblExplore[[#This Row],[Land-DB]]^2)+1.91*TblExplore[[#This Row],[Land-DB]]-593), 0))*(1+ tech_2_6*Techs!AC68 + tech_2_9*Techs!AF68 + tech_3_7*Techs!AN68 + Overview!$I$33),0)</f>
        <v>-126</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-1251</v>
      </c>
    </row>
    <row r="69" spans="1:36" x14ac:dyDescent="0.2">
      <c r="A69" s="175">
        <f>TblRezone[[#This Row],[Hour]]</f>
        <v>66</v>
      </c>
      <c r="B69" s="214">
        <f ca="1">TblConstr[[#This Row],[Land]]</f>
        <v>110</v>
      </c>
      <c r="C69" s="215"/>
      <c r="D69" s="216">
        <f ca="1">TblConstr[[#This Row],[Plain]]</f>
        <v>60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110</v>
      </c>
      <c r="R69" s="175">
        <f>TblExplore[[#This Row],[Hour]]</f>
        <v>66</v>
      </c>
      <c r="S69" s="218"/>
      <c r="T69" s="179"/>
      <c r="U69" s="179"/>
      <c r="V69" s="179"/>
      <c r="W69" s="179"/>
      <c r="X69" s="179"/>
      <c r="Y69" s="179"/>
      <c r="Z69" s="179"/>
      <c r="AA69" s="159">
        <f ca="1">TblImps[[#This Row],[Real time]]</f>
        <v>46104.458333333176</v>
      </c>
      <c r="AB69" s="94">
        <f ca="1">TblMili[[#This Row],[Draftees]]</f>
        <v>554</v>
      </c>
      <c r="AC69" s="94">
        <f ca="1">TblProd[[#This Row],[Platinum]]</f>
        <v>159037</v>
      </c>
      <c r="AD69" s="215"/>
      <c r="AE69" s="45">
        <f ca="1">TblExplore[[#This Row],[Land]]-TblExplore[[#This Row],[Land Bonus]]*20</f>
        <v>110</v>
      </c>
      <c r="AF69" s="94">
        <f ca="1">ROUND((0.6*TblExplore[[#This Row],[Land-DB]]^1.299 + IF(TblExplore[[#This Row],[Land-DB]]&lt;1520, (-0.001*(TblExplore[[#This Row],[Land-DB]]^2)+1.91*TblExplore[[#This Row],[Land-DB]]-593), 0))*(1+ tech_2_6*Techs!AC69 + tech_2_9*Techs!AF69 + tech_3_7*Techs!AN69 + Overview!$I$33),0)</f>
        <v>-126</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-1263</v>
      </c>
    </row>
    <row r="70" spans="1:36" x14ac:dyDescent="0.2">
      <c r="A70" s="175">
        <f>TblRezone[[#This Row],[Hour]]</f>
        <v>67</v>
      </c>
      <c r="B70" s="214">
        <f ca="1">TblConstr[[#This Row],[Land]]</f>
        <v>110</v>
      </c>
      <c r="C70" s="215"/>
      <c r="D70" s="216">
        <f ca="1">TblConstr[[#This Row],[Plain]]</f>
        <v>60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110</v>
      </c>
      <c r="R70" s="175">
        <f>TblExplore[[#This Row],[Hour]]</f>
        <v>67</v>
      </c>
      <c r="S70" s="218"/>
      <c r="T70" s="179"/>
      <c r="U70" s="179"/>
      <c r="V70" s="179"/>
      <c r="W70" s="179"/>
      <c r="X70" s="179"/>
      <c r="Y70" s="179"/>
      <c r="Z70" s="179"/>
      <c r="AA70" s="159">
        <f ca="1">TblImps[[#This Row],[Real time]]</f>
        <v>46104.49999999984</v>
      </c>
      <c r="AB70" s="94">
        <f ca="1">TblMili[[#This Row],[Draftees]]</f>
        <v>559</v>
      </c>
      <c r="AC70" s="94">
        <f ca="1">TblProd[[#This Row],[Platinum]]</f>
        <v>160446</v>
      </c>
      <c r="AD70" s="215"/>
      <c r="AE70" s="45">
        <f ca="1">TblExplore[[#This Row],[Land]]-TblExplore[[#This Row],[Land Bonus]]*20</f>
        <v>110</v>
      </c>
      <c r="AF70" s="94">
        <f ca="1">ROUND((0.6*TblExplore[[#This Row],[Land-DB]]^1.299 + IF(TblExplore[[#This Row],[Land-DB]]&lt;1520, (-0.001*(TblExplore[[#This Row],[Land-DB]]^2)+1.91*TblExplore[[#This Row],[Land-DB]]-593), 0))*(1+ tech_2_6*Techs!AC70 + tech_2_9*Techs!AF70 + tech_3_7*Techs!AN70 + Overview!$I$33),0)</f>
        <v>-126</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-1274</v>
      </c>
    </row>
    <row r="71" spans="1:36" x14ac:dyDescent="0.2">
      <c r="A71" s="175">
        <f>TblRezone[[#This Row],[Hour]]</f>
        <v>68</v>
      </c>
      <c r="B71" s="214">
        <f ca="1">TblConstr[[#This Row],[Land]]</f>
        <v>110</v>
      </c>
      <c r="C71" s="215"/>
      <c r="D71" s="216">
        <f ca="1">TblConstr[[#This Row],[Plain]]</f>
        <v>60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110</v>
      </c>
      <c r="R71" s="175">
        <f>TblExplore[[#This Row],[Hour]]</f>
        <v>68</v>
      </c>
      <c r="S71" s="218"/>
      <c r="T71" s="179"/>
      <c r="U71" s="179"/>
      <c r="V71" s="179"/>
      <c r="W71" s="179"/>
      <c r="X71" s="179"/>
      <c r="Y71" s="179"/>
      <c r="Z71" s="179"/>
      <c r="AA71" s="159">
        <f ca="1">TblImps[[#This Row],[Real time]]</f>
        <v>46104.541666666504</v>
      </c>
      <c r="AB71" s="94">
        <f ca="1">TblMili[[#This Row],[Draftees]]</f>
        <v>564</v>
      </c>
      <c r="AC71" s="94">
        <f ca="1">TblProd[[#This Row],[Platinum]]</f>
        <v>161841</v>
      </c>
      <c r="AD71" s="215"/>
      <c r="AE71" s="45">
        <f ca="1">TblExplore[[#This Row],[Land]]-TblExplore[[#This Row],[Land Bonus]]*20</f>
        <v>110</v>
      </c>
      <c r="AF71" s="94">
        <f ca="1">ROUND((0.6*TblExplore[[#This Row],[Land-DB]]^1.299 + IF(TblExplore[[#This Row],[Land-DB]]&lt;1520, (-0.001*(TblExplore[[#This Row],[Land-DB]]^2)+1.91*TblExplore[[#This Row],[Land-DB]]-593), 0))*(1+ tech_2_6*Techs!AC71 + tech_2_9*Techs!AF71 + tech_3_7*Techs!AN71 + Overview!$I$33),0)</f>
        <v>-126</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-1285</v>
      </c>
    </row>
    <row r="72" spans="1:36" x14ac:dyDescent="0.2">
      <c r="A72" s="175">
        <f>TblRezone[[#This Row],[Hour]]</f>
        <v>69</v>
      </c>
      <c r="B72" s="214">
        <f ca="1">TblConstr[[#This Row],[Land]]</f>
        <v>110</v>
      </c>
      <c r="C72" s="215"/>
      <c r="D72" s="216">
        <f ca="1">TblConstr[[#This Row],[Plain]]</f>
        <v>60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110</v>
      </c>
      <c r="R72" s="175">
        <f>TblExplore[[#This Row],[Hour]]</f>
        <v>69</v>
      </c>
      <c r="S72" s="218"/>
      <c r="T72" s="179"/>
      <c r="U72" s="179"/>
      <c r="V72" s="179"/>
      <c r="W72" s="179"/>
      <c r="X72" s="179"/>
      <c r="Y72" s="179"/>
      <c r="Z72" s="179"/>
      <c r="AA72" s="159">
        <f ca="1">TblImps[[#This Row],[Real time]]</f>
        <v>46104.583333333168</v>
      </c>
      <c r="AB72" s="94">
        <f ca="1">TblMili[[#This Row],[Draftees]]</f>
        <v>569</v>
      </c>
      <c r="AC72" s="94">
        <f ca="1">TblProd[[#This Row],[Platinum]]</f>
        <v>163223</v>
      </c>
      <c r="AD72" s="215"/>
      <c r="AE72" s="45">
        <f ca="1">TblExplore[[#This Row],[Land]]-TblExplore[[#This Row],[Land Bonus]]*20</f>
        <v>110</v>
      </c>
      <c r="AF72" s="94">
        <f ca="1">ROUND((0.6*TblExplore[[#This Row],[Land-DB]]^1.299 + IF(TblExplore[[#This Row],[Land-DB]]&lt;1520, (-0.001*(TblExplore[[#This Row],[Land-DB]]^2)+1.91*TblExplore[[#This Row],[Land-DB]]-593), 0))*(1+ tech_2_6*Techs!AC72 + tech_2_9*Techs!AF72 + tech_3_7*Techs!AN72 + Overview!$I$33),0)</f>
        <v>-126</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-1296</v>
      </c>
    </row>
    <row r="73" spans="1:36" x14ac:dyDescent="0.2">
      <c r="A73" s="175">
        <f>TblRezone[[#This Row],[Hour]]</f>
        <v>70</v>
      </c>
      <c r="B73" s="214">
        <f ca="1">TblConstr[[#This Row],[Land]]</f>
        <v>110</v>
      </c>
      <c r="C73" s="215"/>
      <c r="D73" s="216">
        <f ca="1">TblConstr[[#This Row],[Plain]]</f>
        <v>60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110</v>
      </c>
      <c r="R73" s="175">
        <f>TblExplore[[#This Row],[Hour]]</f>
        <v>70</v>
      </c>
      <c r="S73" s="218"/>
      <c r="T73" s="179"/>
      <c r="U73" s="179"/>
      <c r="V73" s="179"/>
      <c r="W73" s="179"/>
      <c r="X73" s="179"/>
      <c r="Y73" s="179"/>
      <c r="Z73" s="179"/>
      <c r="AA73" s="159">
        <f ca="1">TblImps[[#This Row],[Real time]]</f>
        <v>46104.624999999833</v>
      </c>
      <c r="AB73" s="94">
        <f ca="1">TblMili[[#This Row],[Draftees]]</f>
        <v>574</v>
      </c>
      <c r="AC73" s="94">
        <f ca="1">TblProd[[#This Row],[Platinum]]</f>
        <v>164591</v>
      </c>
      <c r="AD73" s="215"/>
      <c r="AE73" s="45">
        <f ca="1">TblExplore[[#This Row],[Land]]-TblExplore[[#This Row],[Land Bonus]]*20</f>
        <v>110</v>
      </c>
      <c r="AF73" s="94">
        <f ca="1">ROUND((0.6*TblExplore[[#This Row],[Land-DB]]^1.299 + IF(TblExplore[[#This Row],[Land-DB]]&lt;1520, (-0.001*(TblExplore[[#This Row],[Land-DB]]^2)+1.91*TblExplore[[#This Row],[Land-DB]]-593), 0))*(1+ tech_2_6*Techs!AC73 + tech_2_9*Techs!AF73 + tech_3_7*Techs!AN73 + Overview!$I$33),0)</f>
        <v>-126</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-1307</v>
      </c>
    </row>
    <row r="74" spans="1:36" x14ac:dyDescent="0.2">
      <c r="A74" s="175">
        <f>TblRezone[[#This Row],[Hour]]</f>
        <v>71</v>
      </c>
      <c r="B74" s="214">
        <f ca="1">TblConstr[[#This Row],[Land]]</f>
        <v>110</v>
      </c>
      <c r="C74" s="215"/>
      <c r="D74" s="216">
        <f ca="1">TblConstr[[#This Row],[Plain]]</f>
        <v>60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110</v>
      </c>
      <c r="R74" s="175">
        <f>TblExplore[[#This Row],[Hour]]</f>
        <v>71</v>
      </c>
      <c r="S74" s="218"/>
      <c r="T74" s="179"/>
      <c r="U74" s="179"/>
      <c r="V74" s="179"/>
      <c r="W74" s="179"/>
      <c r="X74" s="179"/>
      <c r="Y74" s="179"/>
      <c r="Z74" s="179"/>
      <c r="AA74" s="159">
        <f ca="1">TblImps[[#This Row],[Real time]]</f>
        <v>46104.666666666497</v>
      </c>
      <c r="AB74" s="94">
        <f ca="1">TblMili[[#This Row],[Draftees]]</f>
        <v>579</v>
      </c>
      <c r="AC74" s="94">
        <f ca="1">TblProd[[#This Row],[Platinum]]</f>
        <v>165946</v>
      </c>
      <c r="AD74" s="215"/>
      <c r="AE74" s="45">
        <f ca="1">TblExplore[[#This Row],[Land]]-TblExplore[[#This Row],[Land Bonus]]*20</f>
        <v>110</v>
      </c>
      <c r="AF74" s="94">
        <f ca="1">ROUND((0.6*TblExplore[[#This Row],[Land-DB]]^1.299 + IF(TblExplore[[#This Row],[Land-DB]]&lt;1520, (-0.001*(TblExplore[[#This Row],[Land-DB]]^2)+1.91*TblExplore[[#This Row],[Land-DB]]-593), 0))*(1+ tech_2_6*Techs!AC74 + tech_2_9*Techs!AF74 + tech_3_7*Techs!AN74 + Overview!$I$33),0)</f>
        <v>-126</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-1318</v>
      </c>
    </row>
    <row r="75" spans="1:36" x14ac:dyDescent="0.2">
      <c r="A75" s="175">
        <f>TblRezone[[#This Row],[Hour]]</f>
        <v>72</v>
      </c>
      <c r="B75" s="214">
        <f ca="1">TblConstr[[#This Row],[Land]]</f>
        <v>110</v>
      </c>
      <c r="C75" s="215"/>
      <c r="D75" s="216">
        <f ca="1">TblConstr[[#This Row],[Plain]]</f>
        <v>60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110</v>
      </c>
      <c r="R75" s="175">
        <f>TblExplore[[#This Row],[Hour]]</f>
        <v>72</v>
      </c>
      <c r="S75" s="218"/>
      <c r="T75" s="179"/>
      <c r="U75" s="179"/>
      <c r="V75" s="179"/>
      <c r="W75" s="179"/>
      <c r="X75" s="179"/>
      <c r="Y75" s="179"/>
      <c r="Z75" s="179"/>
      <c r="AA75" s="159">
        <f ca="1">TblImps[[#This Row],[Real time]]</f>
        <v>46104.708333333161</v>
      </c>
      <c r="AB75" s="94">
        <f ca="1">TblMili[[#This Row],[Draftees]]</f>
        <v>584</v>
      </c>
      <c r="AC75" s="94">
        <f ca="1">TblProd[[#This Row],[Platinum]]</f>
        <v>167287</v>
      </c>
      <c r="AD75" s="215"/>
      <c r="AE75" s="45">
        <f ca="1">TblExplore[[#This Row],[Land]]-TblExplore[[#This Row],[Land Bonus]]*20</f>
        <v>110</v>
      </c>
      <c r="AF75" s="94">
        <f ca="1">ROUND((0.6*TblExplore[[#This Row],[Land-DB]]^1.299 + IF(TblExplore[[#This Row],[Land-DB]]&lt;1520, (-0.001*(TblExplore[[#This Row],[Land-DB]]^2)+1.91*TblExplore[[#This Row],[Land-DB]]-593), 0))*(1+ tech_2_6*Techs!AC75 + tech_2_9*Techs!AF75 + tech_3_7*Techs!AN75 + Overview!$I$33),0)</f>
        <v>-126</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-1328</v>
      </c>
    </row>
    <row r="76" spans="1:36" x14ac:dyDescent="0.2">
      <c r="A76" s="175">
        <f>TblRezone[[#This Row],[Hour]]</f>
        <v>73</v>
      </c>
      <c r="B76" s="214">
        <f ca="1">TblConstr[[#This Row],[Land]]</f>
        <v>110</v>
      </c>
      <c r="C76" s="215"/>
      <c r="D76" s="216">
        <f ca="1">TblConstr[[#This Row],[Plain]]</f>
        <v>60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110</v>
      </c>
      <c r="R76" s="175">
        <f>TblExplore[[#This Row],[Hour]]</f>
        <v>73</v>
      </c>
      <c r="S76" s="218"/>
      <c r="T76" s="179"/>
      <c r="U76" s="179"/>
      <c r="V76" s="179"/>
      <c r="W76" s="179"/>
      <c r="X76" s="179"/>
      <c r="Y76" s="179"/>
      <c r="Z76" s="179"/>
      <c r="AA76" s="432">
        <f ca="1">TblImps[[#This Row],[Real time]]</f>
        <v>46104.749999999825</v>
      </c>
      <c r="AB76" s="430">
        <f ca="1">TblMili[[#This Row],[Draftees]]</f>
        <v>589</v>
      </c>
      <c r="AC76" s="430">
        <f ca="1">TblProd[[#This Row],[Platinum]]</f>
        <v>168615</v>
      </c>
      <c r="AD76" s="215"/>
      <c r="AE76" s="433">
        <f ca="1">TblExplore[[#This Row],[Land]]-TblExplore[[#This Row],[Land Bonus]]*20</f>
        <v>110</v>
      </c>
      <c r="AF76" s="430">
        <f ca="1">ROUND((0.6*TblExplore[[#This Row],[Land-DB]]^1.299 + IF(TblExplore[[#This Row],[Land-DB]]&lt;1520, (-0.001*(TblExplore[[#This Row],[Land-DB]]^2)+1.91*TblExplore[[#This Row],[Land-DB]]-593), 0))*(1+ tech_2_6*Techs!AC76 + tech_2_9*Techs!AF76 + tech_3_7*Techs!AN76 + Overview!$I$33),0)</f>
        <v>-126</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-1339</v>
      </c>
    </row>
    <row r="77" spans="1:36" x14ac:dyDescent="0.2">
      <c r="A77" s="175">
        <f>TblRezone[[#This Row],[Hour]]</f>
        <v>74</v>
      </c>
      <c r="B77" s="214">
        <f ca="1">TblConstr[[#This Row],[Land]]</f>
        <v>110</v>
      </c>
      <c r="C77" s="215"/>
      <c r="D77" s="216">
        <f ca="1">TblConstr[[#This Row],[Plain]]</f>
        <v>60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110</v>
      </c>
      <c r="R77" s="175">
        <f>TblExplore[[#This Row],[Hour]]</f>
        <v>74</v>
      </c>
      <c r="S77" s="218"/>
      <c r="T77" s="179"/>
      <c r="U77" s="179"/>
      <c r="V77" s="179"/>
      <c r="W77" s="179"/>
      <c r="X77" s="179"/>
      <c r="Y77" s="179"/>
      <c r="Z77" s="179"/>
      <c r="AA77" s="159">
        <f ca="1">TblImps[[#This Row],[Real time]]</f>
        <v>46104.79166666649</v>
      </c>
      <c r="AB77" s="94">
        <f ca="1">TblMili[[#This Row],[Draftees]]</f>
        <v>594</v>
      </c>
      <c r="AC77" s="94">
        <f ca="1">TblProd[[#This Row],[Platinum]]</f>
        <v>169929</v>
      </c>
      <c r="AD77" s="215"/>
      <c r="AE77" s="45">
        <f ca="1">TblExplore[[#This Row],[Land]]-TblExplore[[#This Row],[Land Bonus]]*20</f>
        <v>110</v>
      </c>
      <c r="AF77" s="94">
        <f ca="1">ROUND((0.6*TblExplore[[#This Row],[Land-DB]]^1.299 + IF(TblExplore[[#This Row],[Land-DB]]&lt;1520, (-0.001*(TblExplore[[#This Row],[Land-DB]]^2)+1.91*TblExplore[[#This Row],[Land-DB]]-593), 0))*(1+ tech_2_6*Techs!AC77 + tech_2_9*Techs!AF77 + tech_3_7*Techs!AN77 + Overview!$I$33),0)</f>
        <v>-126</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-1349</v>
      </c>
    </row>
    <row r="78" spans="1:36" x14ac:dyDescent="0.2">
      <c r="A78" s="175">
        <f>TblRezone[[#This Row],[Hour]]</f>
        <v>75</v>
      </c>
      <c r="B78" s="214">
        <f ca="1">TblConstr[[#This Row],[Land]]</f>
        <v>110</v>
      </c>
      <c r="C78" s="215"/>
      <c r="D78" s="216">
        <f ca="1">TblConstr[[#This Row],[Plain]]</f>
        <v>60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110</v>
      </c>
      <c r="R78" s="175">
        <f>TblExplore[[#This Row],[Hour]]</f>
        <v>75</v>
      </c>
      <c r="S78" s="218"/>
      <c r="T78" s="179"/>
      <c r="U78" s="179"/>
      <c r="V78" s="179"/>
      <c r="W78" s="179"/>
      <c r="X78" s="179"/>
      <c r="Y78" s="179"/>
      <c r="Z78" s="179"/>
      <c r="AA78" s="159">
        <f ca="1">TblImps[[#This Row],[Real time]]</f>
        <v>46104.833333333154</v>
      </c>
      <c r="AB78" s="94">
        <f ca="1">TblMili[[#This Row],[Draftees]]</f>
        <v>599</v>
      </c>
      <c r="AC78" s="94">
        <f ca="1">TblProd[[#This Row],[Platinum]]</f>
        <v>171230</v>
      </c>
      <c r="AD78" s="215"/>
      <c r="AE78" s="45">
        <f ca="1">TblExplore[[#This Row],[Land]]-TblExplore[[#This Row],[Land Bonus]]*20</f>
        <v>110</v>
      </c>
      <c r="AF78" s="94">
        <f ca="1">ROUND((0.6*TblExplore[[#This Row],[Land-DB]]^1.299 + IF(TblExplore[[#This Row],[Land-DB]]&lt;1520, (-0.001*(TblExplore[[#This Row],[Land-DB]]^2)+1.91*TblExplore[[#This Row],[Land-DB]]-593), 0))*(1+ tech_2_6*Techs!AC78 + tech_2_9*Techs!AF78 + tech_3_7*Techs!AN78 + Overview!$I$33),0)</f>
        <v>-126</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-1359</v>
      </c>
    </row>
    <row r="79" spans="1:36" x14ac:dyDescent="0.2">
      <c r="A79" s="175">
        <f>TblRezone[[#This Row],[Hour]]</f>
        <v>76</v>
      </c>
      <c r="B79" s="214">
        <f ca="1">TblConstr[[#This Row],[Land]]</f>
        <v>110</v>
      </c>
      <c r="C79" s="215"/>
      <c r="D79" s="216">
        <f ca="1">TblConstr[[#This Row],[Plain]]</f>
        <v>60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110</v>
      </c>
      <c r="R79" s="175">
        <f>TblExplore[[#This Row],[Hour]]</f>
        <v>76</v>
      </c>
      <c r="S79" s="218"/>
      <c r="T79" s="158"/>
      <c r="U79" s="179"/>
      <c r="V79" s="179"/>
      <c r="W79" s="179"/>
      <c r="X79" s="179"/>
      <c r="Y79" s="179"/>
      <c r="Z79" s="179"/>
      <c r="AA79" s="159">
        <f ca="1">TblImps[[#This Row],[Real time]]</f>
        <v>46104.874999999818</v>
      </c>
      <c r="AB79" s="94">
        <f ca="1">TblMili[[#This Row],[Draftees]]</f>
        <v>604</v>
      </c>
      <c r="AC79" s="94">
        <f ca="1">TblProd[[#This Row],[Platinum]]</f>
        <v>172517</v>
      </c>
      <c r="AD79" s="215"/>
      <c r="AE79" s="45">
        <f ca="1">TblExplore[[#This Row],[Land]]-TblExplore[[#This Row],[Land Bonus]]*20</f>
        <v>110</v>
      </c>
      <c r="AF79" s="94">
        <f ca="1">ROUND((0.6*TblExplore[[#This Row],[Land-DB]]^1.299 + IF(TblExplore[[#This Row],[Land-DB]]&lt;1520, (-0.001*(TblExplore[[#This Row],[Land-DB]]^2)+1.91*TblExplore[[#This Row],[Land-DB]]-593), 0))*(1+ tech_2_6*Techs!AC79 + tech_2_9*Techs!AF79 + tech_3_7*Techs!AN79 + Overview!$I$33),0)</f>
        <v>-126</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-1370</v>
      </c>
    </row>
    <row r="80" spans="1:36" x14ac:dyDescent="0.2">
      <c r="A80" s="175">
        <f>TblRezone[[#This Row],[Hour]]</f>
        <v>77</v>
      </c>
      <c r="B80" s="214">
        <f ca="1">TblConstr[[#This Row],[Land]]</f>
        <v>110</v>
      </c>
      <c r="C80" s="215"/>
      <c r="D80" s="216">
        <f ca="1">TblConstr[[#This Row],[Plain]]</f>
        <v>60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110</v>
      </c>
      <c r="R80" s="175">
        <f>TblExplore[[#This Row],[Hour]]</f>
        <v>77</v>
      </c>
      <c r="S80" s="218"/>
      <c r="T80" s="158"/>
      <c r="U80" s="179"/>
      <c r="V80" s="179"/>
      <c r="W80" s="179"/>
      <c r="X80" s="179"/>
      <c r="Y80" s="179"/>
      <c r="Z80" s="179"/>
      <c r="AA80" s="159">
        <f ca="1">TblImps[[#This Row],[Real time]]</f>
        <v>46104.916666666482</v>
      </c>
      <c r="AB80" s="94">
        <f ca="1">TblMili[[#This Row],[Draftees]]</f>
        <v>609</v>
      </c>
      <c r="AC80" s="94">
        <f ca="1">TblProd[[#This Row],[Platinum]]</f>
        <v>173791</v>
      </c>
      <c r="AD80" s="215"/>
      <c r="AE80" s="45">
        <f ca="1">TblExplore[[#This Row],[Land]]-TblExplore[[#This Row],[Land Bonus]]*20</f>
        <v>110</v>
      </c>
      <c r="AF80" s="94">
        <f ca="1">ROUND((0.6*TblExplore[[#This Row],[Land-DB]]^1.299 + IF(TblExplore[[#This Row],[Land-DB]]&lt;1520, (-0.001*(TblExplore[[#This Row],[Land-DB]]^2)+1.91*TblExplore[[#This Row],[Land-DB]]-593), 0))*(1+ tech_2_6*Techs!AC80 + tech_2_9*Techs!AF80 + tech_3_7*Techs!AN80 + Overview!$I$33),0)</f>
        <v>-126</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-1380</v>
      </c>
    </row>
    <row r="81" spans="1:36" x14ac:dyDescent="0.2">
      <c r="A81" s="175">
        <f>TblRezone[[#This Row],[Hour]]</f>
        <v>78</v>
      </c>
      <c r="B81" s="214">
        <f ca="1">TblConstr[[#This Row],[Land]]</f>
        <v>110</v>
      </c>
      <c r="C81" s="215"/>
      <c r="D81" s="216">
        <f ca="1">TblConstr[[#This Row],[Plain]]</f>
        <v>60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110</v>
      </c>
      <c r="R81" s="175">
        <f>TblExplore[[#This Row],[Hour]]</f>
        <v>78</v>
      </c>
      <c r="S81" s="218"/>
      <c r="T81" s="179"/>
      <c r="U81" s="179"/>
      <c r="V81" s="179"/>
      <c r="W81" s="179"/>
      <c r="X81" s="179"/>
      <c r="Y81" s="179"/>
      <c r="Z81" s="179"/>
      <c r="AA81" s="159">
        <f ca="1">TblImps[[#This Row],[Real time]]</f>
        <v>46104.958333333147</v>
      </c>
      <c r="AB81" s="94">
        <f ca="1">TblMili[[#This Row],[Draftees]]</f>
        <v>614</v>
      </c>
      <c r="AC81" s="94">
        <f ca="1">TblProd[[#This Row],[Platinum]]</f>
        <v>175051</v>
      </c>
      <c r="AD81" s="215"/>
      <c r="AE81" s="45">
        <f ca="1">TblExplore[[#This Row],[Land]]-TblExplore[[#This Row],[Land Bonus]]*20</f>
        <v>110</v>
      </c>
      <c r="AF81" s="94">
        <f ca="1">ROUND((0.6*TblExplore[[#This Row],[Land-DB]]^1.299 + IF(TblExplore[[#This Row],[Land-DB]]&lt;1520, (-0.001*(TblExplore[[#This Row],[Land-DB]]^2)+1.91*TblExplore[[#This Row],[Land-DB]]-593), 0))*(1+ tech_2_6*Techs!AC81 + tech_2_9*Techs!AF81 + tech_3_7*Techs!AN81 + Overview!$I$33),0)</f>
        <v>-126</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-1390</v>
      </c>
    </row>
    <row r="82" spans="1:36" x14ac:dyDescent="0.2">
      <c r="A82" s="175">
        <f>TblRezone[[#This Row],[Hour]]</f>
        <v>79</v>
      </c>
      <c r="B82" s="214">
        <f ca="1">TblConstr[[#This Row],[Land]]</f>
        <v>110</v>
      </c>
      <c r="C82" s="215"/>
      <c r="D82" s="216">
        <f ca="1">TblConstr[[#This Row],[Plain]]</f>
        <v>60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110</v>
      </c>
      <c r="R82" s="175">
        <f>TblExplore[[#This Row],[Hour]]</f>
        <v>79</v>
      </c>
      <c r="S82" s="218"/>
      <c r="T82" s="179"/>
      <c r="U82" s="179"/>
      <c r="V82" s="179"/>
      <c r="W82" s="179"/>
      <c r="X82" s="179"/>
      <c r="Y82" s="179"/>
      <c r="Z82" s="179"/>
      <c r="AA82" s="159">
        <f ca="1">TblImps[[#This Row],[Real time]]</f>
        <v>46104.999999999811</v>
      </c>
      <c r="AB82" s="94">
        <f ca="1">TblMili[[#This Row],[Draftees]]</f>
        <v>619</v>
      </c>
      <c r="AC82" s="94">
        <f ca="1">TblProd[[#This Row],[Platinum]]</f>
        <v>176298</v>
      </c>
      <c r="AD82" s="215"/>
      <c r="AE82" s="45">
        <f ca="1">TblExplore[[#This Row],[Land]]-TblExplore[[#This Row],[Land Bonus]]*20</f>
        <v>110</v>
      </c>
      <c r="AF82" s="94">
        <f ca="1">ROUND((0.6*TblExplore[[#This Row],[Land-DB]]^1.299 + IF(TblExplore[[#This Row],[Land-DB]]&lt;1520, (-0.001*(TblExplore[[#This Row],[Land-DB]]^2)+1.91*TblExplore[[#This Row],[Land-DB]]-593), 0))*(1+ tech_2_6*Techs!AC82 + tech_2_9*Techs!AF82 + tech_3_7*Techs!AN82 + Overview!$I$33),0)</f>
        <v>-126</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-1400</v>
      </c>
    </row>
    <row r="83" spans="1:36" x14ac:dyDescent="0.2">
      <c r="A83" s="175">
        <f>TblRezone[[#This Row],[Hour]]</f>
        <v>80</v>
      </c>
      <c r="B83" s="214">
        <f ca="1">TblConstr[[#This Row],[Land]]</f>
        <v>110</v>
      </c>
      <c r="C83" s="215"/>
      <c r="D83" s="216">
        <f ca="1">TblConstr[[#This Row],[Plain]]</f>
        <v>60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110</v>
      </c>
      <c r="R83" s="175">
        <f>TblExplore[[#This Row],[Hour]]</f>
        <v>80</v>
      </c>
      <c r="S83" s="218"/>
      <c r="T83" s="179"/>
      <c r="U83" s="179"/>
      <c r="V83" s="179"/>
      <c r="W83" s="179"/>
      <c r="X83" s="179"/>
      <c r="Y83" s="179"/>
      <c r="Z83" s="179"/>
      <c r="AA83" s="159">
        <f ca="1">TblImps[[#This Row],[Real time]]</f>
        <v>46105.041666666475</v>
      </c>
      <c r="AB83" s="94">
        <f ca="1">TblMili[[#This Row],[Draftees]]</f>
        <v>624</v>
      </c>
      <c r="AC83" s="94">
        <f ca="1">TblProd[[#This Row],[Platinum]]</f>
        <v>177531</v>
      </c>
      <c r="AD83" s="215"/>
      <c r="AE83" s="45">
        <f ca="1">TblExplore[[#This Row],[Land]]-TblExplore[[#This Row],[Land Bonus]]*20</f>
        <v>110</v>
      </c>
      <c r="AF83" s="94">
        <f ca="1">ROUND((0.6*TblExplore[[#This Row],[Land-DB]]^1.299 + IF(TblExplore[[#This Row],[Land-DB]]&lt;1520, (-0.001*(TblExplore[[#This Row],[Land-DB]]^2)+1.91*TblExplore[[#This Row],[Land-DB]]-593), 0))*(1+ tech_2_6*Techs!AC83 + tech_2_9*Techs!AF83 + tech_3_7*Techs!AN83 + Overview!$I$33),0)</f>
        <v>-126</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-1409</v>
      </c>
    </row>
    <row r="84" spans="1:36" x14ac:dyDescent="0.2">
      <c r="A84" s="175">
        <f>TblRezone[[#This Row],[Hour]]</f>
        <v>81</v>
      </c>
      <c r="B84" s="214">
        <f ca="1">TblConstr[[#This Row],[Land]]</f>
        <v>110</v>
      </c>
      <c r="C84" s="215"/>
      <c r="D84" s="216">
        <f ca="1">TblConstr[[#This Row],[Plain]]</f>
        <v>60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110</v>
      </c>
      <c r="R84" s="175">
        <f>TblExplore[[#This Row],[Hour]]</f>
        <v>81</v>
      </c>
      <c r="S84" s="218"/>
      <c r="T84" s="179"/>
      <c r="U84" s="179"/>
      <c r="V84" s="179"/>
      <c r="W84" s="179"/>
      <c r="X84" s="179"/>
      <c r="Y84" s="179"/>
      <c r="Z84" s="179"/>
      <c r="AA84" s="159">
        <f ca="1">TblImps[[#This Row],[Real time]]</f>
        <v>46105.083333333139</v>
      </c>
      <c r="AB84" s="94">
        <f ca="1">TblMili[[#This Row],[Draftees]]</f>
        <v>629</v>
      </c>
      <c r="AC84" s="94">
        <f ca="1">TblProd[[#This Row],[Platinum]]</f>
        <v>178751</v>
      </c>
      <c r="AD84" s="215"/>
      <c r="AE84" s="45">
        <f ca="1">TblExplore[[#This Row],[Land]]-TblExplore[[#This Row],[Land Bonus]]*20</f>
        <v>110</v>
      </c>
      <c r="AF84" s="94">
        <f ca="1">ROUND((0.6*TblExplore[[#This Row],[Land-DB]]^1.299 + IF(TblExplore[[#This Row],[Land-DB]]&lt;1520, (-0.001*(TblExplore[[#This Row],[Land-DB]]^2)+1.91*TblExplore[[#This Row],[Land-DB]]-593), 0))*(1+ tech_2_6*Techs!AC84 + tech_2_9*Techs!AF84 + tech_3_7*Techs!AN84 + Overview!$I$33),0)</f>
        <v>-126</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-1419</v>
      </c>
    </row>
    <row r="85" spans="1:36" x14ac:dyDescent="0.2">
      <c r="A85" s="175">
        <f>TblRezone[[#This Row],[Hour]]</f>
        <v>82</v>
      </c>
      <c r="B85" s="214">
        <f ca="1">TblConstr[[#This Row],[Land]]</f>
        <v>110</v>
      </c>
      <c r="C85" s="215"/>
      <c r="D85" s="216">
        <f ca="1">TblConstr[[#This Row],[Plain]]</f>
        <v>60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110</v>
      </c>
      <c r="R85" s="175">
        <f>TblExplore[[#This Row],[Hour]]</f>
        <v>82</v>
      </c>
      <c r="S85" s="218"/>
      <c r="T85" s="179"/>
      <c r="U85" s="179"/>
      <c r="V85" s="179"/>
      <c r="W85" s="179"/>
      <c r="X85" s="179"/>
      <c r="Y85" s="179"/>
      <c r="Z85" s="179"/>
      <c r="AA85" s="159">
        <f ca="1">TblImps[[#This Row],[Real time]]</f>
        <v>46105.124999999804</v>
      </c>
      <c r="AB85" s="94">
        <f ca="1">TblMili[[#This Row],[Draftees]]</f>
        <v>633</v>
      </c>
      <c r="AC85" s="94">
        <f ca="1">TblProd[[#This Row],[Platinum]]</f>
        <v>179957</v>
      </c>
      <c r="AD85" s="215"/>
      <c r="AE85" s="45">
        <f ca="1">TblExplore[[#This Row],[Land]]-TblExplore[[#This Row],[Land Bonus]]*20</f>
        <v>110</v>
      </c>
      <c r="AF85" s="94">
        <f ca="1">ROUND((0.6*TblExplore[[#This Row],[Land-DB]]^1.299 + IF(TblExplore[[#This Row],[Land-DB]]&lt;1520, (-0.001*(TblExplore[[#This Row],[Land-DB]]^2)+1.91*TblExplore[[#This Row],[Land-DB]]-593), 0))*(1+ tech_2_6*Techs!AC85 + tech_2_9*Techs!AF85 + tech_3_7*Techs!AN85 + Overview!$I$33),0)</f>
        <v>-126</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-1429</v>
      </c>
    </row>
    <row r="86" spans="1:36" x14ac:dyDescent="0.2">
      <c r="A86" s="175">
        <f>TblRezone[[#This Row],[Hour]]</f>
        <v>83</v>
      </c>
      <c r="B86" s="214">
        <f ca="1">TblConstr[[#This Row],[Land]]</f>
        <v>110</v>
      </c>
      <c r="C86" s="215"/>
      <c r="D86" s="216">
        <f ca="1">TblConstr[[#This Row],[Plain]]</f>
        <v>60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110</v>
      </c>
      <c r="R86" s="175">
        <f>TblExplore[[#This Row],[Hour]]</f>
        <v>83</v>
      </c>
      <c r="S86" s="218"/>
      <c r="T86" s="179"/>
      <c r="U86" s="179"/>
      <c r="V86" s="179"/>
      <c r="W86" s="179"/>
      <c r="X86" s="179"/>
      <c r="Y86" s="179"/>
      <c r="Z86" s="179"/>
      <c r="AA86" s="159">
        <f ca="1">TblImps[[#This Row],[Real time]]</f>
        <v>46105.166666666468</v>
      </c>
      <c r="AB86" s="94">
        <f ca="1">TblMili[[#This Row],[Draftees]]</f>
        <v>637</v>
      </c>
      <c r="AC86" s="94">
        <f ca="1">TblProd[[#This Row],[Platinum]]</f>
        <v>181153</v>
      </c>
      <c r="AD86" s="215"/>
      <c r="AE86" s="45">
        <f ca="1">TblExplore[[#This Row],[Land]]-TblExplore[[#This Row],[Land Bonus]]*20</f>
        <v>110</v>
      </c>
      <c r="AF86" s="94">
        <f ca="1">ROUND((0.6*TblExplore[[#This Row],[Land-DB]]^1.299 + IF(TblExplore[[#This Row],[Land-DB]]&lt;1520, (-0.001*(TblExplore[[#This Row],[Land-DB]]^2)+1.91*TblExplore[[#This Row],[Land-DB]]-593), 0))*(1+ tech_2_6*Techs!AC86 + tech_2_9*Techs!AF86 + tech_3_7*Techs!AN86 + Overview!$I$33),0)</f>
        <v>-126</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-1438</v>
      </c>
    </row>
    <row r="87" spans="1:36" x14ac:dyDescent="0.2">
      <c r="A87" s="175">
        <f>TblRezone[[#This Row],[Hour]]</f>
        <v>84</v>
      </c>
      <c r="B87" s="214">
        <f ca="1">TblConstr[[#This Row],[Land]]</f>
        <v>110</v>
      </c>
      <c r="C87" s="215"/>
      <c r="D87" s="216">
        <f ca="1">TblConstr[[#This Row],[Plain]]</f>
        <v>60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110</v>
      </c>
      <c r="R87" s="175">
        <f>TblExplore[[#This Row],[Hour]]</f>
        <v>84</v>
      </c>
      <c r="S87" s="218"/>
      <c r="T87" s="158"/>
      <c r="U87" s="179"/>
      <c r="V87" s="179"/>
      <c r="W87" s="179"/>
      <c r="X87" s="179"/>
      <c r="Y87" s="179"/>
      <c r="Z87" s="179"/>
      <c r="AA87" s="159">
        <f ca="1">TblImps[[#This Row],[Real time]]</f>
        <v>46105.208333333132</v>
      </c>
      <c r="AB87" s="94">
        <f ca="1">TblMili[[#This Row],[Draftees]]</f>
        <v>641</v>
      </c>
      <c r="AC87" s="94">
        <f ca="1">TblProd[[#This Row],[Platinum]]</f>
        <v>182338</v>
      </c>
      <c r="AD87" s="215"/>
      <c r="AE87" s="45">
        <f ca="1">TblExplore[[#This Row],[Land]]-TblExplore[[#This Row],[Land Bonus]]*20</f>
        <v>110</v>
      </c>
      <c r="AF87" s="94">
        <f ca="1">ROUND((0.6*TblExplore[[#This Row],[Land-DB]]^1.299 + IF(TblExplore[[#This Row],[Land-DB]]&lt;1520, (-0.001*(TblExplore[[#This Row],[Land-DB]]^2)+1.91*TblExplore[[#This Row],[Land-DB]]-593), 0))*(1+ tech_2_6*Techs!AC87 + tech_2_9*Techs!AF87 + tech_3_7*Techs!AN87 + Overview!$I$33),0)</f>
        <v>-126</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-1448</v>
      </c>
    </row>
    <row r="88" spans="1:36" x14ac:dyDescent="0.2">
      <c r="A88" s="175">
        <f>TblRezone[[#This Row],[Hour]]</f>
        <v>85</v>
      </c>
      <c r="B88" s="214">
        <f ca="1">TblConstr[[#This Row],[Land]]</f>
        <v>110</v>
      </c>
      <c r="C88" s="215"/>
      <c r="D88" s="216">
        <f ca="1">TblConstr[[#This Row],[Plain]]</f>
        <v>60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110</v>
      </c>
      <c r="R88" s="175">
        <f>TblExplore[[#This Row],[Hour]]</f>
        <v>85</v>
      </c>
      <c r="S88" s="218"/>
      <c r="T88" s="179"/>
      <c r="U88" s="179"/>
      <c r="V88" s="179"/>
      <c r="W88" s="179"/>
      <c r="X88" s="179"/>
      <c r="Y88" s="179"/>
      <c r="Z88" s="179"/>
      <c r="AA88" s="159">
        <f ca="1">TblImps[[#This Row],[Real time]]</f>
        <v>46105.249999999796</v>
      </c>
      <c r="AB88" s="94">
        <f ca="1">TblMili[[#This Row],[Draftees]]</f>
        <v>645</v>
      </c>
      <c r="AC88" s="94">
        <f ca="1">TblProd[[#This Row],[Platinum]]</f>
        <v>183512</v>
      </c>
      <c r="AD88" s="215"/>
      <c r="AE88" s="45">
        <f ca="1">TblExplore[[#This Row],[Land]]-TblExplore[[#This Row],[Land Bonus]]*20</f>
        <v>110</v>
      </c>
      <c r="AF88" s="94">
        <f ca="1">ROUND((0.6*TblExplore[[#This Row],[Land-DB]]^1.299 + IF(TblExplore[[#This Row],[Land-DB]]&lt;1520, (-0.001*(TblExplore[[#This Row],[Land-DB]]^2)+1.91*TblExplore[[#This Row],[Land-DB]]-593), 0))*(1+ tech_2_6*Techs!AC88 + tech_2_9*Techs!AF88 + tech_3_7*Techs!AN88 + Overview!$I$33),0)</f>
        <v>-126</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-1457</v>
      </c>
    </row>
    <row r="89" spans="1:36" x14ac:dyDescent="0.2">
      <c r="A89" s="175">
        <f>TblRezone[[#This Row],[Hour]]</f>
        <v>86</v>
      </c>
      <c r="B89" s="214">
        <f ca="1">TblConstr[[#This Row],[Land]]</f>
        <v>110</v>
      </c>
      <c r="C89" s="215"/>
      <c r="D89" s="216">
        <f ca="1">TblConstr[[#This Row],[Plain]]</f>
        <v>60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110</v>
      </c>
      <c r="R89" s="175">
        <f>TblExplore[[#This Row],[Hour]]</f>
        <v>86</v>
      </c>
      <c r="S89" s="218"/>
      <c r="T89" s="179"/>
      <c r="U89" s="179"/>
      <c r="V89" s="179"/>
      <c r="W89" s="179"/>
      <c r="X89" s="179"/>
      <c r="Y89" s="179"/>
      <c r="Z89" s="179"/>
      <c r="AA89" s="159">
        <f ca="1">TblImps[[#This Row],[Real time]]</f>
        <v>46105.291666666461</v>
      </c>
      <c r="AB89" s="94">
        <f ca="1">TblMili[[#This Row],[Draftees]]</f>
        <v>649</v>
      </c>
      <c r="AC89" s="94">
        <f ca="1">TblProd[[#This Row],[Platinum]]</f>
        <v>184675</v>
      </c>
      <c r="AD89" s="215"/>
      <c r="AE89" s="45">
        <f ca="1">TblExplore[[#This Row],[Land]]-TblExplore[[#This Row],[Land Bonus]]*20</f>
        <v>110</v>
      </c>
      <c r="AF89" s="94">
        <f ca="1">ROUND((0.6*TblExplore[[#This Row],[Land-DB]]^1.299 + IF(TblExplore[[#This Row],[Land-DB]]&lt;1520, (-0.001*(TblExplore[[#This Row],[Land-DB]]^2)+1.91*TblExplore[[#This Row],[Land-DB]]-593), 0))*(1+ tech_2_6*Techs!AC89 + tech_2_9*Techs!AF89 + tech_3_7*Techs!AN89 + Overview!$I$33),0)</f>
        <v>-126</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-1466</v>
      </c>
    </row>
    <row r="90" spans="1:36" x14ac:dyDescent="0.2">
      <c r="A90" s="175">
        <f>TblRezone[[#This Row],[Hour]]</f>
        <v>87</v>
      </c>
      <c r="B90" s="214">
        <f ca="1">TblConstr[[#This Row],[Land]]</f>
        <v>110</v>
      </c>
      <c r="C90" s="215"/>
      <c r="D90" s="216">
        <f ca="1">TblConstr[[#This Row],[Plain]]</f>
        <v>60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110</v>
      </c>
      <c r="R90" s="175">
        <f>TblExplore[[#This Row],[Hour]]</f>
        <v>87</v>
      </c>
      <c r="S90" s="218"/>
      <c r="T90" s="179"/>
      <c r="U90" s="179"/>
      <c r="V90" s="179"/>
      <c r="W90" s="179"/>
      <c r="X90" s="179"/>
      <c r="Y90" s="179"/>
      <c r="Z90" s="179"/>
      <c r="AA90" s="159">
        <f ca="1">TblImps[[#This Row],[Real time]]</f>
        <v>46105.333333333125</v>
      </c>
      <c r="AB90" s="94">
        <f ca="1">TblMili[[#This Row],[Draftees]]</f>
        <v>653</v>
      </c>
      <c r="AC90" s="94">
        <f ca="1">TblProd[[#This Row],[Platinum]]</f>
        <v>185827</v>
      </c>
      <c r="AD90" s="215"/>
      <c r="AE90" s="45">
        <f ca="1">TblExplore[[#This Row],[Land]]-TblExplore[[#This Row],[Land Bonus]]*20</f>
        <v>110</v>
      </c>
      <c r="AF90" s="94">
        <f ca="1">ROUND((0.6*TblExplore[[#This Row],[Land-DB]]^1.299 + IF(TblExplore[[#This Row],[Land-DB]]&lt;1520, (-0.001*(TblExplore[[#This Row],[Land-DB]]^2)+1.91*TblExplore[[#This Row],[Land-DB]]-593), 0))*(1+ tech_2_6*Techs!AC90 + tech_2_9*Techs!AF90 + tech_3_7*Techs!AN90 + Overview!$I$33),0)</f>
        <v>-126</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-1475</v>
      </c>
    </row>
    <row r="91" spans="1:36" x14ac:dyDescent="0.2">
      <c r="A91" s="175">
        <f>TblRezone[[#This Row],[Hour]]</f>
        <v>88</v>
      </c>
      <c r="B91" s="214">
        <f ca="1">TblConstr[[#This Row],[Land]]</f>
        <v>110</v>
      </c>
      <c r="C91" s="215"/>
      <c r="D91" s="216">
        <f ca="1">TblConstr[[#This Row],[Plain]]</f>
        <v>60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110</v>
      </c>
      <c r="R91" s="175">
        <f>TblExplore[[#This Row],[Hour]]</f>
        <v>88</v>
      </c>
      <c r="S91" s="218"/>
      <c r="T91" s="158"/>
      <c r="U91" s="179"/>
      <c r="V91" s="179"/>
      <c r="W91" s="179"/>
      <c r="X91" s="179"/>
      <c r="Y91" s="179"/>
      <c r="Z91" s="179"/>
      <c r="AA91" s="159">
        <f ca="1">TblImps[[#This Row],[Real time]]</f>
        <v>46105.374999999789</v>
      </c>
      <c r="AB91" s="94">
        <f ca="1">TblMili[[#This Row],[Draftees]]</f>
        <v>657</v>
      </c>
      <c r="AC91" s="94">
        <f ca="1">TblProd[[#This Row],[Platinum]]</f>
        <v>186969</v>
      </c>
      <c r="AD91" s="215"/>
      <c r="AE91" s="45">
        <f ca="1">TblExplore[[#This Row],[Land]]-TblExplore[[#This Row],[Land Bonus]]*20</f>
        <v>110</v>
      </c>
      <c r="AF91" s="94">
        <f ca="1">ROUND((0.6*TblExplore[[#This Row],[Land-DB]]^1.299 + IF(TblExplore[[#This Row],[Land-DB]]&lt;1520, (-0.001*(TblExplore[[#This Row],[Land-DB]]^2)+1.91*TblExplore[[#This Row],[Land-DB]]-593), 0))*(1+ tech_2_6*Techs!AC91 + tech_2_9*Techs!AF91 + tech_3_7*Techs!AN91 + Overview!$I$33),0)</f>
        <v>-126</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-1484</v>
      </c>
    </row>
    <row r="92" spans="1:36" x14ac:dyDescent="0.2">
      <c r="A92" s="175">
        <f>TblRezone[[#This Row],[Hour]]</f>
        <v>89</v>
      </c>
      <c r="B92" s="214">
        <f ca="1">TblConstr[[#This Row],[Land]]</f>
        <v>110</v>
      </c>
      <c r="C92" s="215"/>
      <c r="D92" s="216">
        <f ca="1">TblConstr[[#This Row],[Plain]]</f>
        <v>60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110</v>
      </c>
      <c r="R92" s="175">
        <f>TblExplore[[#This Row],[Hour]]</f>
        <v>89</v>
      </c>
      <c r="S92" s="218"/>
      <c r="T92" s="158"/>
      <c r="U92" s="179"/>
      <c r="V92" s="179"/>
      <c r="W92" s="179"/>
      <c r="X92" s="179"/>
      <c r="Y92" s="179"/>
      <c r="Z92" s="179"/>
      <c r="AA92" s="159">
        <f ca="1">TblImps[[#This Row],[Real time]]</f>
        <v>46105.416666666453</v>
      </c>
      <c r="AB92" s="94">
        <f ca="1">TblMili[[#This Row],[Draftees]]</f>
        <v>661</v>
      </c>
      <c r="AC92" s="94">
        <f ca="1">TblProd[[#This Row],[Platinum]]</f>
        <v>188100</v>
      </c>
      <c r="AD92" s="215"/>
      <c r="AE92" s="45">
        <f ca="1">TblExplore[[#This Row],[Land]]-TblExplore[[#This Row],[Land Bonus]]*20</f>
        <v>110</v>
      </c>
      <c r="AF92" s="94">
        <f ca="1">ROUND((0.6*TblExplore[[#This Row],[Land-DB]]^1.299 + IF(TblExplore[[#This Row],[Land-DB]]&lt;1520, (-0.001*(TblExplore[[#This Row],[Land-DB]]^2)+1.91*TblExplore[[#This Row],[Land-DB]]-593), 0))*(1+ tech_2_6*Techs!AC92 + tech_2_9*Techs!AF92 + tech_3_7*Techs!AN92 + Overview!$I$33),0)</f>
        <v>-126</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-1493</v>
      </c>
    </row>
    <row r="93" spans="1:36" x14ac:dyDescent="0.2">
      <c r="A93" s="175">
        <f>TblRezone[[#This Row],[Hour]]</f>
        <v>90</v>
      </c>
      <c r="B93" s="214">
        <f ca="1">TblConstr[[#This Row],[Land]]</f>
        <v>110</v>
      </c>
      <c r="C93" s="215"/>
      <c r="D93" s="216">
        <f ca="1">TblConstr[[#This Row],[Plain]]</f>
        <v>60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110</v>
      </c>
      <c r="R93" s="175">
        <f>TblExplore[[#This Row],[Hour]]</f>
        <v>90</v>
      </c>
      <c r="S93" s="218"/>
      <c r="T93" s="179"/>
      <c r="U93" s="179"/>
      <c r="V93" s="179"/>
      <c r="W93" s="179"/>
      <c r="X93" s="179"/>
      <c r="Y93" s="179"/>
      <c r="Z93" s="179"/>
      <c r="AA93" s="159">
        <f ca="1">TblImps[[#This Row],[Real time]]</f>
        <v>46105.458333333117</v>
      </c>
      <c r="AB93" s="94">
        <f ca="1">TblMili[[#This Row],[Draftees]]</f>
        <v>665</v>
      </c>
      <c r="AC93" s="94">
        <f ca="1">TblProd[[#This Row],[Platinum]]</f>
        <v>189220</v>
      </c>
      <c r="AD93" s="215"/>
      <c r="AE93" s="45">
        <f ca="1">TblExplore[[#This Row],[Land]]-TblExplore[[#This Row],[Land Bonus]]*20</f>
        <v>110</v>
      </c>
      <c r="AF93" s="94">
        <f ca="1">ROUND((0.6*TblExplore[[#This Row],[Land-DB]]^1.299 + IF(TblExplore[[#This Row],[Land-DB]]&lt;1520, (-0.001*(TblExplore[[#This Row],[Land-DB]]^2)+1.91*TblExplore[[#This Row],[Land-DB]]-593), 0))*(1+ tech_2_6*Techs!AC93 + tech_2_9*Techs!AF93 + tech_3_7*Techs!AN93 + Overview!$I$33),0)</f>
        <v>-126</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-1502</v>
      </c>
    </row>
    <row r="94" spans="1:36" x14ac:dyDescent="0.2">
      <c r="A94" s="175">
        <f>TblRezone[[#This Row],[Hour]]</f>
        <v>91</v>
      </c>
      <c r="B94" s="214">
        <f ca="1">TblConstr[[#This Row],[Land]]</f>
        <v>110</v>
      </c>
      <c r="C94" s="215"/>
      <c r="D94" s="216">
        <f ca="1">TblConstr[[#This Row],[Plain]]</f>
        <v>60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110</v>
      </c>
      <c r="R94" s="175">
        <f>TblExplore[[#This Row],[Hour]]</f>
        <v>91</v>
      </c>
      <c r="S94" s="218"/>
      <c r="T94" s="179"/>
      <c r="U94" s="179"/>
      <c r="V94" s="179"/>
      <c r="W94" s="179"/>
      <c r="X94" s="179"/>
      <c r="Y94" s="179"/>
      <c r="Z94" s="179"/>
      <c r="AA94" s="159">
        <f ca="1">TblImps[[#This Row],[Real time]]</f>
        <v>46105.499999999782</v>
      </c>
      <c r="AB94" s="94">
        <f ca="1">TblMili[[#This Row],[Draftees]]</f>
        <v>669</v>
      </c>
      <c r="AC94" s="94">
        <f ca="1">TblProd[[#This Row],[Platinum]]</f>
        <v>190329</v>
      </c>
      <c r="AD94" s="215"/>
      <c r="AE94" s="45">
        <f ca="1">TblExplore[[#This Row],[Land]]-TblExplore[[#This Row],[Land Bonus]]*20</f>
        <v>110</v>
      </c>
      <c r="AF94" s="94">
        <f ca="1">ROUND((0.6*TblExplore[[#This Row],[Land-DB]]^1.299 + IF(TblExplore[[#This Row],[Land-DB]]&lt;1520, (-0.001*(TblExplore[[#This Row],[Land-DB]]^2)+1.91*TblExplore[[#This Row],[Land-DB]]-593), 0))*(1+ tech_2_6*Techs!AC94 + tech_2_9*Techs!AF94 + tech_3_7*Techs!AN94 + Overview!$I$33),0)</f>
        <v>-126</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-1511</v>
      </c>
    </row>
    <row r="95" spans="1:36" x14ac:dyDescent="0.2">
      <c r="A95" s="175">
        <f>TblRezone[[#This Row],[Hour]]</f>
        <v>92</v>
      </c>
      <c r="B95" s="214">
        <f ca="1">TblConstr[[#This Row],[Land]]</f>
        <v>110</v>
      </c>
      <c r="C95" s="215"/>
      <c r="D95" s="216">
        <f ca="1">TblConstr[[#This Row],[Plain]]</f>
        <v>60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110</v>
      </c>
      <c r="R95" s="175">
        <f>TblExplore[[#This Row],[Hour]]</f>
        <v>92</v>
      </c>
      <c r="S95" s="218"/>
      <c r="T95" s="179"/>
      <c r="U95" s="179"/>
      <c r="V95" s="179"/>
      <c r="W95" s="179"/>
      <c r="X95" s="179"/>
      <c r="Y95" s="179"/>
      <c r="Z95" s="179"/>
      <c r="AA95" s="159">
        <f ca="1">TblImps[[#This Row],[Real time]]</f>
        <v>46105.541666666446</v>
      </c>
      <c r="AB95" s="94">
        <f ca="1">TblMili[[#This Row],[Draftees]]</f>
        <v>673</v>
      </c>
      <c r="AC95" s="94">
        <f ca="1">TblProd[[#This Row],[Platinum]]</f>
        <v>191427</v>
      </c>
      <c r="AD95" s="215"/>
      <c r="AE95" s="45">
        <f ca="1">TblExplore[[#This Row],[Land]]-TblExplore[[#This Row],[Land Bonus]]*20</f>
        <v>110</v>
      </c>
      <c r="AF95" s="94">
        <f ca="1">ROUND((0.6*TblExplore[[#This Row],[Land-DB]]^1.299 + IF(TblExplore[[#This Row],[Land-DB]]&lt;1520, (-0.001*(TblExplore[[#This Row],[Land-DB]]^2)+1.91*TblExplore[[#This Row],[Land-DB]]-593), 0))*(1+ tech_2_6*Techs!AC95 + tech_2_9*Techs!AF95 + tech_3_7*Techs!AN95 + Overview!$I$33),0)</f>
        <v>-126</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-1520</v>
      </c>
    </row>
    <row r="96" spans="1:36" x14ac:dyDescent="0.2">
      <c r="A96" s="175">
        <f>TblRezone[[#This Row],[Hour]]</f>
        <v>93</v>
      </c>
      <c r="B96" s="214">
        <f ca="1">TblConstr[[#This Row],[Land]]</f>
        <v>110</v>
      </c>
      <c r="C96" s="215"/>
      <c r="D96" s="216">
        <f ca="1">TblConstr[[#This Row],[Plain]]</f>
        <v>60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110</v>
      </c>
      <c r="R96" s="214">
        <f>TblExplore[[#This Row],[Hour]]</f>
        <v>93</v>
      </c>
      <c r="S96" s="218"/>
      <c r="T96" s="179"/>
      <c r="U96" s="179"/>
      <c r="V96" s="179"/>
      <c r="W96" s="179"/>
      <c r="X96" s="179"/>
      <c r="Y96" s="179"/>
      <c r="Z96" s="179"/>
      <c r="AA96" s="159">
        <f ca="1">TblImps[[#This Row],[Real time]]</f>
        <v>46105.58333333311</v>
      </c>
      <c r="AB96" s="94">
        <f ca="1">TblMili[[#This Row],[Draftees]]</f>
        <v>677</v>
      </c>
      <c r="AC96" s="94">
        <f ca="1">TblProd[[#This Row],[Platinum]]</f>
        <v>192515</v>
      </c>
      <c r="AD96" s="215"/>
      <c r="AE96" s="45">
        <f ca="1">TblExplore[[#This Row],[Land]]-TblExplore[[#This Row],[Land Bonus]]*20</f>
        <v>110</v>
      </c>
      <c r="AF96" s="94">
        <f ca="1">ROUND((0.6*TblExplore[[#This Row],[Land-DB]]^1.299 + IF(TblExplore[[#This Row],[Land-DB]]&lt;1520, (-0.001*(TblExplore[[#This Row],[Land-DB]]^2)+1.91*TblExplore[[#This Row],[Land-DB]]-593), 0))*(1+ tech_2_6*Techs!AC96 + tech_2_9*Techs!AF96 + tech_3_7*Techs!AN96 + Overview!$I$33),0)</f>
        <v>-126</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-1528</v>
      </c>
    </row>
    <row r="97" spans="1:36" x14ac:dyDescent="0.2">
      <c r="A97" s="175">
        <f>TblRezone[[#This Row],[Hour]]</f>
        <v>94</v>
      </c>
      <c r="B97" s="214">
        <f ca="1">TblConstr[[#This Row],[Land]]</f>
        <v>110</v>
      </c>
      <c r="C97" s="215"/>
      <c r="D97" s="216">
        <f ca="1">TblConstr[[#This Row],[Plain]]</f>
        <v>60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110</v>
      </c>
      <c r="R97" s="214">
        <f>TblExplore[[#This Row],[Hour]]</f>
        <v>94</v>
      </c>
      <c r="S97" s="218"/>
      <c r="T97" s="179"/>
      <c r="U97" s="179"/>
      <c r="V97" s="179"/>
      <c r="W97" s="179"/>
      <c r="X97" s="179"/>
      <c r="Y97" s="179"/>
      <c r="Z97" s="179"/>
      <c r="AA97" s="159">
        <f ca="1">TblImps[[#This Row],[Real time]]</f>
        <v>46105.624999999774</v>
      </c>
      <c r="AB97" s="94">
        <f ca="1">TblMili[[#This Row],[Draftees]]</f>
        <v>681</v>
      </c>
      <c r="AC97" s="94">
        <f ca="1">TblProd[[#This Row],[Platinum]]</f>
        <v>193592</v>
      </c>
      <c r="AD97" s="215"/>
      <c r="AE97" s="45">
        <f ca="1">TblExplore[[#This Row],[Land]]-TblExplore[[#This Row],[Land Bonus]]*20</f>
        <v>110</v>
      </c>
      <c r="AF97" s="94">
        <f ca="1">ROUND((0.6*TblExplore[[#This Row],[Land-DB]]^1.299 + IF(TblExplore[[#This Row],[Land-DB]]&lt;1520, (-0.001*(TblExplore[[#This Row],[Land-DB]]^2)+1.91*TblExplore[[#This Row],[Land-DB]]-593), 0))*(1+ tech_2_6*Techs!AC97 + tech_2_9*Techs!AF97 + tech_3_7*Techs!AN97 + Overview!$I$33),0)</f>
        <v>-126</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-1537</v>
      </c>
    </row>
    <row r="98" spans="1:36" x14ac:dyDescent="0.2">
      <c r="A98" s="175">
        <f>TblRezone[[#This Row],[Hour]]</f>
        <v>95</v>
      </c>
      <c r="B98" s="214">
        <f ca="1">TblConstr[[#This Row],[Land]]</f>
        <v>110</v>
      </c>
      <c r="C98" s="215"/>
      <c r="D98" s="216">
        <f ca="1">TblConstr[[#This Row],[Plain]]</f>
        <v>60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110</v>
      </c>
      <c r="R98" s="175">
        <f>TblExplore[[#This Row],[Hour]]</f>
        <v>95</v>
      </c>
      <c r="S98" s="218"/>
      <c r="T98" s="179"/>
      <c r="U98" s="179"/>
      <c r="V98" s="179"/>
      <c r="W98" s="179"/>
      <c r="X98" s="179"/>
      <c r="Y98" s="179"/>
      <c r="Z98" s="179"/>
      <c r="AA98" s="159">
        <f ca="1">TblImps[[#This Row],[Real time]]</f>
        <v>46105.666666666439</v>
      </c>
      <c r="AB98" s="94">
        <f ca="1">TblMili[[#This Row],[Draftees]]</f>
        <v>685</v>
      </c>
      <c r="AC98" s="94">
        <f ca="1">TblProd[[#This Row],[Platinum]]</f>
        <v>194658</v>
      </c>
      <c r="AD98" s="215"/>
      <c r="AE98" s="45">
        <f ca="1">TblExplore[[#This Row],[Land]]-TblExplore[[#This Row],[Land Bonus]]*20</f>
        <v>110</v>
      </c>
      <c r="AF98" s="94">
        <f ca="1">ROUND((0.6*TblExplore[[#This Row],[Land-DB]]^1.299 + IF(TblExplore[[#This Row],[Land-DB]]&lt;1520, (-0.001*(TblExplore[[#This Row],[Land-DB]]^2)+1.91*TblExplore[[#This Row],[Land-DB]]-593), 0))*(1+ tech_2_6*Techs!AC98 + tech_2_9*Techs!AF98 + tech_3_7*Techs!AN98 + Overview!$I$33),0)</f>
        <v>-126</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-1545</v>
      </c>
    </row>
    <row r="99" spans="1:36" x14ac:dyDescent="0.2">
      <c r="A99" s="175">
        <f>TblRezone[[#This Row],[Hour]]</f>
        <v>96</v>
      </c>
      <c r="B99" s="214">
        <f ca="1">TblConstr[[#This Row],[Land]]</f>
        <v>110</v>
      </c>
      <c r="C99" s="215"/>
      <c r="D99" s="216">
        <f ca="1">TblConstr[[#This Row],[Plain]]</f>
        <v>60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110</v>
      </c>
      <c r="R99" s="175">
        <f>TblExplore[[#This Row],[Hour]]</f>
        <v>96</v>
      </c>
      <c r="S99" s="218"/>
      <c r="T99" s="158"/>
      <c r="U99" s="179"/>
      <c r="V99" s="179"/>
      <c r="W99" s="179"/>
      <c r="X99" s="179"/>
      <c r="Y99" s="179"/>
      <c r="Z99" s="179"/>
      <c r="AA99" s="159">
        <f ca="1">TblImps[[#This Row],[Real time]]</f>
        <v>46105.708333333103</v>
      </c>
      <c r="AB99" s="94">
        <f ca="1">TblMili[[#This Row],[Draftees]]</f>
        <v>689</v>
      </c>
      <c r="AC99" s="94">
        <f ca="1">TblProd[[#This Row],[Platinum]]</f>
        <v>195713</v>
      </c>
      <c r="AD99" s="215"/>
      <c r="AE99" s="45">
        <f ca="1">TblExplore[[#This Row],[Land]]-TblExplore[[#This Row],[Land Bonus]]*20</f>
        <v>110</v>
      </c>
      <c r="AF99" s="94">
        <f ca="1">ROUND((0.6*TblExplore[[#This Row],[Land-DB]]^1.299 + IF(TblExplore[[#This Row],[Land-DB]]&lt;1520, (-0.001*(TblExplore[[#This Row],[Land-DB]]^2)+1.91*TblExplore[[#This Row],[Land-DB]]-593), 0))*(1+ tech_2_6*Techs!AC99 + tech_2_9*Techs!AF99 + tech_3_7*Techs!AN99 + Overview!$I$33),0)</f>
        <v>-126</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-1554</v>
      </c>
    </row>
    <row r="100" spans="1:36" x14ac:dyDescent="0.2">
      <c r="A100" s="175">
        <f>TblRezone[[#This Row],[Hour]]</f>
        <v>97</v>
      </c>
      <c r="B100" s="214">
        <f ca="1">TblConstr[[#This Row],[Land]]</f>
        <v>110</v>
      </c>
      <c r="C100" s="215"/>
      <c r="D100" s="216">
        <f ca="1">TblConstr[[#This Row],[Plain]]</f>
        <v>60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110</v>
      </c>
      <c r="R100" s="175">
        <f>TblExplore[[#This Row],[Hour]]</f>
        <v>97</v>
      </c>
      <c r="S100" s="218"/>
      <c r="T100" s="179"/>
      <c r="U100" s="179"/>
      <c r="V100" s="179"/>
      <c r="W100" s="179"/>
      <c r="X100" s="179"/>
      <c r="Y100" s="179"/>
      <c r="Z100" s="179"/>
      <c r="AA100" s="159">
        <f ca="1">TblImps[[#This Row],[Real time]]</f>
        <v>46105.749999999767</v>
      </c>
      <c r="AB100" s="94">
        <f ca="1">TblMili[[#This Row],[Draftees]]</f>
        <v>693</v>
      </c>
      <c r="AC100" s="94">
        <f ca="1">TblProd[[#This Row],[Platinum]]</f>
        <v>196757</v>
      </c>
      <c r="AD100" s="215"/>
      <c r="AE100" s="45">
        <f ca="1">TblExplore[[#This Row],[Land]]-TblExplore[[#This Row],[Land Bonus]]*20</f>
        <v>110</v>
      </c>
      <c r="AF100" s="94">
        <f ca="1">ROUND((0.6*TblExplore[[#This Row],[Land-DB]]^1.299 + IF(TblExplore[[#This Row],[Land-DB]]&lt;1520, (-0.001*(TblExplore[[#This Row],[Land-DB]]^2)+1.91*TblExplore[[#This Row],[Land-DB]]-593), 0))*(1+ tech_2_6*Techs!AC100 + tech_2_9*Techs!AF100 + tech_3_7*Techs!AN100 + Overview!$I$33),0)</f>
        <v>-126</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-1562</v>
      </c>
    </row>
    <row r="101" spans="1:36" x14ac:dyDescent="0.2">
      <c r="A101" s="175">
        <f>TblRezone[[#This Row],[Hour]]</f>
        <v>98</v>
      </c>
      <c r="B101" s="214">
        <f ca="1">TblConstr[[#This Row],[Land]]</f>
        <v>110</v>
      </c>
      <c r="C101" s="215"/>
      <c r="D101" s="216">
        <f ca="1">TblConstr[[#This Row],[Plain]]</f>
        <v>60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110</v>
      </c>
      <c r="R101" s="175">
        <f>TblExplore[[#This Row],[Hour]]</f>
        <v>98</v>
      </c>
      <c r="S101" s="218"/>
      <c r="T101" s="158"/>
      <c r="U101" s="179"/>
      <c r="V101" s="179"/>
      <c r="W101" s="179"/>
      <c r="X101" s="179"/>
      <c r="Y101" s="179"/>
      <c r="Z101" s="179"/>
      <c r="AA101" s="159">
        <f ca="1">TblImps[[#This Row],[Real time]]</f>
        <v>46105.791666666431</v>
      </c>
      <c r="AB101" s="94">
        <f ca="1">TblMili[[#This Row],[Draftees]]</f>
        <v>697</v>
      </c>
      <c r="AC101" s="94">
        <f ca="1">TblProd[[#This Row],[Platinum]]</f>
        <v>197791</v>
      </c>
      <c r="AD101" s="215"/>
      <c r="AE101" s="45">
        <f ca="1">TblExplore[[#This Row],[Land]]-TblExplore[[#This Row],[Land Bonus]]*20</f>
        <v>110</v>
      </c>
      <c r="AF101" s="94">
        <f ca="1">ROUND((0.6*TblExplore[[#This Row],[Land-DB]]^1.299 + IF(TblExplore[[#This Row],[Land-DB]]&lt;1520, (-0.001*(TblExplore[[#This Row],[Land-DB]]^2)+1.91*TblExplore[[#This Row],[Land-DB]]-593), 0))*(1+ tech_2_6*Techs!AC101 + tech_2_9*Techs!AF101 + tech_3_7*Techs!AN101 + Overview!$I$33),0)</f>
        <v>-126</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-1570</v>
      </c>
    </row>
    <row r="102" spans="1:36" x14ac:dyDescent="0.2">
      <c r="A102" s="175">
        <f>TblRezone[[#This Row],[Hour]]</f>
        <v>99</v>
      </c>
      <c r="B102" s="214">
        <f ca="1">TblConstr[[#This Row],[Land]]</f>
        <v>110</v>
      </c>
      <c r="C102" s="215"/>
      <c r="D102" s="216">
        <f ca="1">TblConstr[[#This Row],[Plain]]</f>
        <v>60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110</v>
      </c>
      <c r="R102" s="175">
        <f>TblExplore[[#This Row],[Hour]]</f>
        <v>99</v>
      </c>
      <c r="S102" s="218"/>
      <c r="T102" s="158"/>
      <c r="U102" s="179"/>
      <c r="V102" s="179"/>
      <c r="W102" s="179"/>
      <c r="X102" s="179"/>
      <c r="Y102" s="179"/>
      <c r="Z102" s="179"/>
      <c r="AA102" s="159">
        <f ca="1">TblImps[[#This Row],[Real time]]</f>
        <v>46105.833333333096</v>
      </c>
      <c r="AB102" s="94">
        <f ca="1">TblMili[[#This Row],[Draftees]]</f>
        <v>701</v>
      </c>
      <c r="AC102" s="94">
        <f ca="1">TblProd[[#This Row],[Platinum]]</f>
        <v>198814</v>
      </c>
      <c r="AD102" s="215"/>
      <c r="AE102" s="45">
        <f ca="1">TblExplore[[#This Row],[Land]]-TblExplore[[#This Row],[Land Bonus]]*20</f>
        <v>110</v>
      </c>
      <c r="AF102" s="94">
        <f ca="1">ROUND((0.6*TblExplore[[#This Row],[Land-DB]]^1.299 + IF(TblExplore[[#This Row],[Land-DB]]&lt;1520, (-0.001*(TblExplore[[#This Row],[Land-DB]]^2)+1.91*TblExplore[[#This Row],[Land-DB]]-593), 0))*(1+ tech_2_6*Techs!AC102 + tech_2_9*Techs!AF102 + tech_3_7*Techs!AN102 + Overview!$I$33),0)</f>
        <v>-126</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-1578</v>
      </c>
    </row>
    <row r="103" spans="1:36" x14ac:dyDescent="0.2">
      <c r="A103" s="175">
        <f>TblRezone[[#This Row],[Hour]]</f>
        <v>100</v>
      </c>
      <c r="B103" s="214">
        <f ca="1">TblConstr[[#This Row],[Land]]</f>
        <v>110</v>
      </c>
      <c r="C103" s="215"/>
      <c r="D103" s="216">
        <f ca="1">TblConstr[[#This Row],[Plain]]</f>
        <v>60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110</v>
      </c>
      <c r="R103" s="175">
        <f>TblExplore[[#This Row],[Hour]]</f>
        <v>100</v>
      </c>
      <c r="S103" s="218"/>
      <c r="T103" s="158"/>
      <c r="U103" s="179"/>
      <c r="V103" s="179"/>
      <c r="W103" s="179"/>
      <c r="X103" s="179"/>
      <c r="Y103" s="179"/>
      <c r="Z103" s="179"/>
      <c r="AA103" s="159">
        <f ca="1">TblImps[[#This Row],[Real time]]</f>
        <v>46105.87499999976</v>
      </c>
      <c r="AB103" s="94">
        <f ca="1">TblMili[[#This Row],[Draftees]]</f>
        <v>705</v>
      </c>
      <c r="AC103" s="94">
        <f ca="1">TblProd[[#This Row],[Platinum]]</f>
        <v>199826</v>
      </c>
      <c r="AD103" s="215"/>
      <c r="AE103" s="45">
        <f ca="1">TblExplore[[#This Row],[Land]]-TblExplore[[#This Row],[Land Bonus]]*20</f>
        <v>110</v>
      </c>
      <c r="AF103" s="94">
        <f ca="1">ROUND((0.6*TblExplore[[#This Row],[Land-DB]]^1.299 + IF(TblExplore[[#This Row],[Land-DB]]&lt;1520, (-0.001*(TblExplore[[#This Row],[Land-DB]]^2)+1.91*TblExplore[[#This Row],[Land-DB]]-593), 0))*(1+ tech_2_6*Techs!AC103 + tech_2_9*Techs!AF103 + tech_3_7*Techs!AN103 + Overview!$I$33),0)</f>
        <v>-126</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-1586</v>
      </c>
    </row>
    <row r="104" spans="1:36" x14ac:dyDescent="0.2">
      <c r="A104" s="175">
        <f>TblRezone[[#This Row],[Hour]]</f>
        <v>101</v>
      </c>
      <c r="B104" s="214">
        <f ca="1">TblConstr[[#This Row],[Land]]</f>
        <v>110</v>
      </c>
      <c r="C104" s="215"/>
      <c r="D104" s="216">
        <f ca="1">TblConstr[[#This Row],[Plain]]</f>
        <v>60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110</v>
      </c>
      <c r="R104" s="175">
        <f>TblExplore[[#This Row],[Hour]]</f>
        <v>101</v>
      </c>
      <c r="S104" s="218"/>
      <c r="T104" s="158"/>
      <c r="U104" s="179"/>
      <c r="V104" s="179"/>
      <c r="W104" s="179"/>
      <c r="X104" s="179"/>
      <c r="Y104" s="179"/>
      <c r="Z104" s="179"/>
      <c r="AA104" s="159">
        <f ca="1">TblImps[[#This Row],[Real time]]</f>
        <v>46105.916666666424</v>
      </c>
      <c r="AB104" s="94">
        <f ca="1">TblMili[[#This Row],[Draftees]]</f>
        <v>709</v>
      </c>
      <c r="AC104" s="94">
        <f ca="1">TblProd[[#This Row],[Platinum]]</f>
        <v>200827</v>
      </c>
      <c r="AD104" s="215"/>
      <c r="AE104" s="45">
        <f ca="1">TblExplore[[#This Row],[Land]]-TblExplore[[#This Row],[Land Bonus]]*20</f>
        <v>110</v>
      </c>
      <c r="AF104" s="94">
        <f ca="1">ROUND((0.6*TblExplore[[#This Row],[Land-DB]]^1.299 + IF(TblExplore[[#This Row],[Land-DB]]&lt;1520, (-0.001*(TblExplore[[#This Row],[Land-DB]]^2)+1.91*TblExplore[[#This Row],[Land-DB]]-593), 0))*(1+ tech_2_6*Techs!AC104 + tech_2_9*Techs!AF104 + tech_3_7*Techs!AN104 + Overview!$I$33),0)</f>
        <v>-126</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-1594</v>
      </c>
    </row>
    <row r="105" spans="1:36" x14ac:dyDescent="0.2">
      <c r="A105" s="175">
        <f>TblRezone[[#This Row],[Hour]]</f>
        <v>102</v>
      </c>
      <c r="B105" s="214">
        <f ca="1">TblConstr[[#This Row],[Land]]</f>
        <v>110</v>
      </c>
      <c r="C105" s="215"/>
      <c r="D105" s="216">
        <f ca="1">TblConstr[[#This Row],[Plain]]</f>
        <v>60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110</v>
      </c>
      <c r="R105" s="175">
        <f>TblExplore[[#This Row],[Hour]]</f>
        <v>102</v>
      </c>
      <c r="S105" s="218"/>
      <c r="T105" s="179"/>
      <c r="U105" s="179"/>
      <c r="V105" s="179"/>
      <c r="W105" s="179"/>
      <c r="X105" s="179"/>
      <c r="Y105" s="179"/>
      <c r="Z105" s="179"/>
      <c r="AA105" s="159">
        <f ca="1">TblImps[[#This Row],[Real time]]</f>
        <v>46105.958333333088</v>
      </c>
      <c r="AB105" s="94">
        <f ca="1">TblMili[[#This Row],[Draftees]]</f>
        <v>713</v>
      </c>
      <c r="AC105" s="94">
        <f ca="1">TblProd[[#This Row],[Platinum]]</f>
        <v>201817</v>
      </c>
      <c r="AD105" s="215"/>
      <c r="AE105" s="45">
        <f ca="1">TblExplore[[#This Row],[Land]]-TblExplore[[#This Row],[Land Bonus]]*20</f>
        <v>110</v>
      </c>
      <c r="AF105" s="94">
        <f ca="1">ROUND((0.6*TblExplore[[#This Row],[Land-DB]]^1.299 + IF(TblExplore[[#This Row],[Land-DB]]&lt;1520, (-0.001*(TblExplore[[#This Row],[Land-DB]]^2)+1.91*TblExplore[[#This Row],[Land-DB]]-593), 0))*(1+ tech_2_6*Techs!AC105 + tech_2_9*Techs!AF105 + tech_3_7*Techs!AN105 + Overview!$I$33),0)</f>
        <v>-126</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-1602</v>
      </c>
    </row>
    <row r="106" spans="1:36" x14ac:dyDescent="0.2">
      <c r="A106" s="175">
        <f>TblRezone[[#This Row],[Hour]]</f>
        <v>103</v>
      </c>
      <c r="B106" s="214">
        <f ca="1">TblConstr[[#This Row],[Land]]</f>
        <v>110</v>
      </c>
      <c r="C106" s="215"/>
      <c r="D106" s="216">
        <f ca="1">TblConstr[[#This Row],[Plain]]</f>
        <v>60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110</v>
      </c>
      <c r="R106" s="175">
        <f>TblExplore[[#This Row],[Hour]]</f>
        <v>103</v>
      </c>
      <c r="S106" s="218"/>
      <c r="T106" s="179"/>
      <c r="U106" s="179"/>
      <c r="V106" s="179"/>
      <c r="W106" s="179"/>
      <c r="X106" s="179"/>
      <c r="Y106" s="179"/>
      <c r="Z106" s="179"/>
      <c r="AA106" s="159">
        <f ca="1">TblImps[[#This Row],[Real time]]</f>
        <v>46105.999999999753</v>
      </c>
      <c r="AB106" s="94">
        <f ca="1">TblMili[[#This Row],[Draftees]]</f>
        <v>717</v>
      </c>
      <c r="AC106" s="94">
        <f ca="1">TblProd[[#This Row],[Platinum]]</f>
        <v>202797</v>
      </c>
      <c r="AD106" s="215"/>
      <c r="AE106" s="45">
        <f ca="1">TblExplore[[#This Row],[Land]]-TblExplore[[#This Row],[Land Bonus]]*20</f>
        <v>110</v>
      </c>
      <c r="AF106" s="94">
        <f ca="1">ROUND((0.6*TblExplore[[#This Row],[Land-DB]]^1.299 + IF(TblExplore[[#This Row],[Land-DB]]&lt;1520, (-0.001*(TblExplore[[#This Row],[Land-DB]]^2)+1.91*TblExplore[[#This Row],[Land-DB]]-593), 0))*(1+ tech_2_6*Techs!AC106 + tech_2_9*Techs!AF106 + tech_3_7*Techs!AN106 + Overview!$I$33),0)</f>
        <v>-126</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-1610</v>
      </c>
    </row>
    <row r="107" spans="1:36" x14ac:dyDescent="0.2">
      <c r="A107" s="175">
        <f>TblRezone[[#This Row],[Hour]]</f>
        <v>104</v>
      </c>
      <c r="B107" s="214">
        <f ca="1">TblConstr[[#This Row],[Land]]</f>
        <v>110</v>
      </c>
      <c r="C107" s="215"/>
      <c r="D107" s="216">
        <f ca="1">TblConstr[[#This Row],[Plain]]</f>
        <v>60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110</v>
      </c>
      <c r="R107" s="175">
        <f>TblExplore[[#This Row],[Hour]]</f>
        <v>104</v>
      </c>
      <c r="S107" s="218"/>
      <c r="T107" s="179"/>
      <c r="U107" s="179"/>
      <c r="V107" s="179"/>
      <c r="W107" s="179"/>
      <c r="X107" s="179"/>
      <c r="Y107" s="179"/>
      <c r="Z107" s="179"/>
      <c r="AA107" s="159">
        <f ca="1">TblImps[[#This Row],[Real time]]</f>
        <v>46106.041666666417</v>
      </c>
      <c r="AB107" s="94">
        <f ca="1">TblMili[[#This Row],[Draftees]]</f>
        <v>721</v>
      </c>
      <c r="AC107" s="94">
        <f ca="1">TblProd[[#This Row],[Platinum]]</f>
        <v>203766</v>
      </c>
      <c r="AD107" s="215"/>
      <c r="AE107" s="45">
        <f ca="1">TblExplore[[#This Row],[Land]]-TblExplore[[#This Row],[Land Bonus]]*20</f>
        <v>110</v>
      </c>
      <c r="AF107" s="94">
        <f ca="1">ROUND((0.6*TblExplore[[#This Row],[Land-DB]]^1.299 + IF(TblExplore[[#This Row],[Land-DB]]&lt;1520, (-0.001*(TblExplore[[#This Row],[Land-DB]]^2)+1.91*TblExplore[[#This Row],[Land-DB]]-593), 0))*(1+ tech_2_6*Techs!AC107 + tech_2_9*Techs!AF107 + tech_3_7*Techs!AN107 + Overview!$I$33),0)</f>
        <v>-126</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-1618</v>
      </c>
    </row>
    <row r="108" spans="1:36" x14ac:dyDescent="0.2">
      <c r="A108" s="175">
        <f>TblRezone[[#This Row],[Hour]]</f>
        <v>105</v>
      </c>
      <c r="B108" s="214">
        <f ca="1">TblConstr[[#This Row],[Land]]</f>
        <v>110</v>
      </c>
      <c r="C108" s="215"/>
      <c r="D108" s="216">
        <f ca="1">TblConstr[[#This Row],[Plain]]</f>
        <v>60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110</v>
      </c>
      <c r="R108" s="175">
        <f>TblExplore[[#This Row],[Hour]]</f>
        <v>105</v>
      </c>
      <c r="S108" s="218"/>
      <c r="T108" s="179"/>
      <c r="U108" s="179"/>
      <c r="V108" s="179"/>
      <c r="W108" s="179"/>
      <c r="X108" s="179"/>
      <c r="Y108" s="179"/>
      <c r="Z108" s="179"/>
      <c r="AA108" s="159">
        <f ca="1">TblImps[[#This Row],[Real time]]</f>
        <v>46106.083333333081</v>
      </c>
      <c r="AB108" s="94">
        <f ca="1">TblMili[[#This Row],[Draftees]]</f>
        <v>725</v>
      </c>
      <c r="AC108" s="94">
        <f ca="1">TblProd[[#This Row],[Platinum]]</f>
        <v>204724</v>
      </c>
      <c r="AD108" s="215"/>
      <c r="AE108" s="45">
        <f ca="1">TblExplore[[#This Row],[Land]]-TblExplore[[#This Row],[Land Bonus]]*20</f>
        <v>110</v>
      </c>
      <c r="AF108" s="94">
        <f ca="1">ROUND((0.6*TblExplore[[#This Row],[Land-DB]]^1.299 + IF(TblExplore[[#This Row],[Land-DB]]&lt;1520, (-0.001*(TblExplore[[#This Row],[Land-DB]]^2)+1.91*TblExplore[[#This Row],[Land-DB]]-593), 0))*(1+ tech_2_6*Techs!AC108 + tech_2_9*Techs!AF108 + tech_3_7*Techs!AN108 + Overview!$I$33),0)</f>
        <v>-126</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-1625</v>
      </c>
    </row>
    <row r="109" spans="1:36" x14ac:dyDescent="0.2">
      <c r="A109" s="175">
        <f>TblRezone[[#This Row],[Hour]]</f>
        <v>106</v>
      </c>
      <c r="B109" s="214">
        <f ca="1">TblConstr[[#This Row],[Land]]</f>
        <v>110</v>
      </c>
      <c r="C109" s="215"/>
      <c r="D109" s="216">
        <f ca="1">TblConstr[[#This Row],[Plain]]</f>
        <v>60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110</v>
      </c>
      <c r="R109" s="175">
        <f>TblExplore[[#This Row],[Hour]]</f>
        <v>106</v>
      </c>
      <c r="S109" s="218"/>
      <c r="T109" s="179"/>
      <c r="U109" s="179"/>
      <c r="V109" s="179"/>
      <c r="W109" s="179"/>
      <c r="X109" s="179"/>
      <c r="Y109" s="179"/>
      <c r="Z109" s="179"/>
      <c r="AA109" s="159">
        <f ca="1">TblImps[[#This Row],[Real time]]</f>
        <v>46106.124999999745</v>
      </c>
      <c r="AB109" s="94">
        <f ca="1">TblMili[[#This Row],[Draftees]]</f>
        <v>729</v>
      </c>
      <c r="AC109" s="94">
        <f ca="1">TblProd[[#This Row],[Platinum]]</f>
        <v>205671</v>
      </c>
      <c r="AD109" s="215"/>
      <c r="AE109" s="45">
        <f ca="1">TblExplore[[#This Row],[Land]]-TblExplore[[#This Row],[Land Bonus]]*20</f>
        <v>110</v>
      </c>
      <c r="AF109" s="94">
        <f ca="1">ROUND((0.6*TblExplore[[#This Row],[Land-DB]]^1.299 + IF(TblExplore[[#This Row],[Land-DB]]&lt;1520, (-0.001*(TblExplore[[#This Row],[Land-DB]]^2)+1.91*TblExplore[[#This Row],[Land-DB]]-593), 0))*(1+ tech_2_6*Techs!AC109 + tech_2_9*Techs!AF109 + tech_3_7*Techs!AN109 + Overview!$I$33),0)</f>
        <v>-126</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-1633</v>
      </c>
    </row>
    <row r="110" spans="1:36" x14ac:dyDescent="0.2">
      <c r="A110" s="175">
        <f>TblRezone[[#This Row],[Hour]]</f>
        <v>107</v>
      </c>
      <c r="B110" s="214">
        <f ca="1">TblConstr[[#This Row],[Land]]</f>
        <v>110</v>
      </c>
      <c r="C110" s="215"/>
      <c r="D110" s="216">
        <f ca="1">TblConstr[[#This Row],[Plain]]</f>
        <v>60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110</v>
      </c>
      <c r="R110" s="175">
        <f>TblExplore[[#This Row],[Hour]]</f>
        <v>107</v>
      </c>
      <c r="S110" s="218"/>
      <c r="T110" s="158"/>
      <c r="U110" s="179"/>
      <c r="V110" s="179"/>
      <c r="W110" s="179"/>
      <c r="X110" s="179"/>
      <c r="Y110" s="179"/>
      <c r="Z110" s="179"/>
      <c r="AA110" s="159">
        <f ca="1">TblImps[[#This Row],[Real time]]</f>
        <v>46106.16666666641</v>
      </c>
      <c r="AB110" s="94">
        <f ca="1">TblMili[[#This Row],[Draftees]]</f>
        <v>732</v>
      </c>
      <c r="AC110" s="94">
        <f ca="1">TblProd[[#This Row],[Platinum]]</f>
        <v>206607</v>
      </c>
      <c r="AD110" s="215"/>
      <c r="AE110" s="45">
        <f ca="1">TblExplore[[#This Row],[Land]]-TblExplore[[#This Row],[Land Bonus]]*20</f>
        <v>110</v>
      </c>
      <c r="AF110" s="94">
        <f ca="1">ROUND((0.6*TblExplore[[#This Row],[Land-DB]]^1.299 + IF(TblExplore[[#This Row],[Land-DB]]&lt;1520, (-0.001*(TblExplore[[#This Row],[Land-DB]]^2)+1.91*TblExplore[[#This Row],[Land-DB]]-593), 0))*(1+ tech_2_6*Techs!AC110 + tech_2_9*Techs!AF110 + tech_3_7*Techs!AN110 + Overview!$I$33),0)</f>
        <v>-126</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-1640</v>
      </c>
    </row>
    <row r="111" spans="1:36" x14ac:dyDescent="0.2">
      <c r="A111" s="175">
        <f>TblRezone[[#This Row],[Hour]]</f>
        <v>108</v>
      </c>
      <c r="B111" s="214">
        <f ca="1">TblConstr[[#This Row],[Land]]</f>
        <v>110</v>
      </c>
      <c r="C111" s="215"/>
      <c r="D111" s="216">
        <f ca="1">TblConstr[[#This Row],[Plain]]</f>
        <v>60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110</v>
      </c>
      <c r="R111" s="175">
        <f>TblExplore[[#This Row],[Hour]]</f>
        <v>108</v>
      </c>
      <c r="S111" s="218"/>
      <c r="T111" s="179"/>
      <c r="U111" s="179"/>
      <c r="V111" s="179"/>
      <c r="W111" s="179"/>
      <c r="X111" s="179"/>
      <c r="Y111" s="179"/>
      <c r="Z111" s="179"/>
      <c r="AA111" s="159">
        <f ca="1">TblImps[[#This Row],[Real time]]</f>
        <v>46106.208333333074</v>
      </c>
      <c r="AB111" s="94">
        <f ca="1">TblMili[[#This Row],[Draftees]]</f>
        <v>735</v>
      </c>
      <c r="AC111" s="94">
        <f ca="1">TblProd[[#This Row],[Platinum]]</f>
        <v>207535</v>
      </c>
      <c r="AD111" s="215"/>
      <c r="AE111" s="45">
        <f ca="1">TblExplore[[#This Row],[Land]]-TblExplore[[#This Row],[Land Bonus]]*20</f>
        <v>110</v>
      </c>
      <c r="AF111" s="94">
        <f ca="1">ROUND((0.6*TblExplore[[#This Row],[Land-DB]]^1.299 + IF(TblExplore[[#This Row],[Land-DB]]&lt;1520, (-0.001*(TblExplore[[#This Row],[Land-DB]]^2)+1.91*TblExplore[[#This Row],[Land-DB]]-593), 0))*(1+ tech_2_6*Techs!AC111 + tech_2_9*Techs!AF111 + tech_3_7*Techs!AN111 + Overview!$I$33),0)</f>
        <v>-126</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-1648</v>
      </c>
    </row>
    <row r="112" spans="1:36" ht="12.75" customHeight="1" x14ac:dyDescent="0.2">
      <c r="A112" s="175">
        <f>TblRezone[[#This Row],[Hour]]</f>
        <v>109</v>
      </c>
      <c r="B112" s="214">
        <f ca="1">TblConstr[[#This Row],[Land]]</f>
        <v>110</v>
      </c>
      <c r="C112" s="215"/>
      <c r="D112" s="216">
        <f ca="1">TblConstr[[#This Row],[Plain]]</f>
        <v>60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110</v>
      </c>
      <c r="R112" s="175">
        <f>TblExplore[[#This Row],[Hour]]</f>
        <v>109</v>
      </c>
      <c r="S112" s="218"/>
      <c r="T112" s="179"/>
      <c r="U112" s="179"/>
      <c r="V112" s="179"/>
      <c r="W112" s="179"/>
      <c r="X112" s="179"/>
      <c r="Y112" s="179"/>
      <c r="Z112" s="179"/>
      <c r="AA112" s="159">
        <f ca="1">TblImps[[#This Row],[Real time]]</f>
        <v>46106.249999999738</v>
      </c>
      <c r="AB112" s="94">
        <f ca="1">TblMili[[#This Row],[Draftees]]</f>
        <v>738</v>
      </c>
      <c r="AC112" s="94">
        <f ca="1">TblProd[[#This Row],[Platinum]]</f>
        <v>208455</v>
      </c>
      <c r="AD112" s="215"/>
      <c r="AE112" s="45">
        <f ca="1">TblExplore[[#This Row],[Land]]-TblExplore[[#This Row],[Land Bonus]]*20</f>
        <v>110</v>
      </c>
      <c r="AF112" s="94">
        <f ca="1">ROUND((0.6*TblExplore[[#This Row],[Land-DB]]^1.299 + IF(TblExplore[[#This Row],[Land-DB]]&lt;1520, (-0.001*(TblExplore[[#This Row],[Land-DB]]^2)+1.91*TblExplore[[#This Row],[Land-DB]]-593), 0))*(1+ tech_2_6*Techs!AC112 + tech_2_9*Techs!AF112 + tech_3_7*Techs!AN112 + Overview!$I$33),0)</f>
        <v>-126</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-1655</v>
      </c>
    </row>
    <row r="113" spans="1:36" x14ac:dyDescent="0.2">
      <c r="A113" s="175">
        <f>TblRezone[[#This Row],[Hour]]</f>
        <v>110</v>
      </c>
      <c r="B113" s="214">
        <f ca="1">TblConstr[[#This Row],[Land]]</f>
        <v>110</v>
      </c>
      <c r="C113" s="215"/>
      <c r="D113" s="216">
        <f ca="1">TblConstr[[#This Row],[Plain]]</f>
        <v>60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110</v>
      </c>
      <c r="R113" s="175">
        <f>TblExplore[[#This Row],[Hour]]</f>
        <v>110</v>
      </c>
      <c r="S113" s="218"/>
      <c r="T113" s="179"/>
      <c r="U113" s="179"/>
      <c r="V113" s="179"/>
      <c r="W113" s="179"/>
      <c r="X113" s="179"/>
      <c r="Y113" s="179"/>
      <c r="Z113" s="179"/>
      <c r="AA113" s="159">
        <f ca="1">TblImps[[#This Row],[Real time]]</f>
        <v>46106.291666666402</v>
      </c>
      <c r="AB113" s="94">
        <f ca="1">TblMili[[#This Row],[Draftees]]</f>
        <v>741</v>
      </c>
      <c r="AC113" s="94">
        <f ca="1">TblProd[[#This Row],[Platinum]]</f>
        <v>209367</v>
      </c>
      <c r="AD113" s="215"/>
      <c r="AE113" s="45">
        <f ca="1">TblExplore[[#This Row],[Land]]-TblExplore[[#This Row],[Land Bonus]]*20</f>
        <v>110</v>
      </c>
      <c r="AF113" s="94">
        <f ca="1">ROUND((0.6*TblExplore[[#This Row],[Land-DB]]^1.299 + IF(TblExplore[[#This Row],[Land-DB]]&lt;1520, (-0.001*(TblExplore[[#This Row],[Land-DB]]^2)+1.91*TblExplore[[#This Row],[Land-DB]]-593), 0))*(1+ tech_2_6*Techs!AC113 + tech_2_9*Techs!AF113 + tech_3_7*Techs!AN113 + Overview!$I$33),0)</f>
        <v>-126</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-1662</v>
      </c>
    </row>
    <row r="114" spans="1:36" x14ac:dyDescent="0.2">
      <c r="A114" s="175">
        <f>TblRezone[[#This Row],[Hour]]</f>
        <v>111</v>
      </c>
      <c r="B114" s="214">
        <f ca="1">TblConstr[[#This Row],[Land]]</f>
        <v>110</v>
      </c>
      <c r="C114" s="215"/>
      <c r="D114" s="216">
        <f ca="1">TblConstr[[#This Row],[Plain]]</f>
        <v>60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110</v>
      </c>
      <c r="R114" s="175">
        <f>TblExplore[[#This Row],[Hour]]</f>
        <v>111</v>
      </c>
      <c r="S114" s="218"/>
      <c r="T114" s="179"/>
      <c r="U114" s="179"/>
      <c r="V114" s="179"/>
      <c r="W114" s="179"/>
      <c r="X114" s="179"/>
      <c r="Y114" s="179"/>
      <c r="Z114" s="179"/>
      <c r="AA114" s="159">
        <f ca="1">TblImps[[#This Row],[Real time]]</f>
        <v>46106.333333333067</v>
      </c>
      <c r="AB114" s="94">
        <f ca="1">TblMili[[#This Row],[Draftees]]</f>
        <v>744</v>
      </c>
      <c r="AC114" s="94">
        <f ca="1">TblProd[[#This Row],[Platinum]]</f>
        <v>210271</v>
      </c>
      <c r="AD114" s="215"/>
      <c r="AE114" s="45">
        <f ca="1">TblExplore[[#This Row],[Land]]-TblExplore[[#This Row],[Land Bonus]]*20</f>
        <v>110</v>
      </c>
      <c r="AF114" s="94">
        <f ca="1">ROUND((0.6*TblExplore[[#This Row],[Land-DB]]^1.299 + IF(TblExplore[[#This Row],[Land-DB]]&lt;1520, (-0.001*(TblExplore[[#This Row],[Land-DB]]^2)+1.91*TblExplore[[#This Row],[Land-DB]]-593), 0))*(1+ tech_2_6*Techs!AC114 + tech_2_9*Techs!AF114 + tech_3_7*Techs!AN114 + Overview!$I$33),0)</f>
        <v>-126</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-1669</v>
      </c>
    </row>
    <row r="115" spans="1:36" x14ac:dyDescent="0.2">
      <c r="A115" s="175">
        <f>TblRezone[[#This Row],[Hour]]</f>
        <v>112</v>
      </c>
      <c r="B115" s="214">
        <f ca="1">TblConstr[[#This Row],[Land]]</f>
        <v>110</v>
      </c>
      <c r="C115" s="215"/>
      <c r="D115" s="216">
        <f ca="1">TblConstr[[#This Row],[Plain]]</f>
        <v>60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110</v>
      </c>
      <c r="R115" s="175">
        <f>TblExplore[[#This Row],[Hour]]</f>
        <v>112</v>
      </c>
      <c r="S115" s="218"/>
      <c r="T115" s="179"/>
      <c r="U115" s="179"/>
      <c r="V115" s="179"/>
      <c r="W115" s="179"/>
      <c r="X115" s="179"/>
      <c r="Y115" s="179"/>
      <c r="Z115" s="179"/>
      <c r="AA115" s="159">
        <f ca="1">TblImps[[#This Row],[Real time]]</f>
        <v>46106.374999999731</v>
      </c>
      <c r="AB115" s="94">
        <f ca="1">TblMili[[#This Row],[Draftees]]</f>
        <v>747</v>
      </c>
      <c r="AC115" s="94">
        <f ca="1">TblProd[[#This Row],[Platinum]]</f>
        <v>211167</v>
      </c>
      <c r="AD115" s="215"/>
      <c r="AE115" s="45">
        <f ca="1">TblExplore[[#This Row],[Land]]-TblExplore[[#This Row],[Land Bonus]]*20</f>
        <v>110</v>
      </c>
      <c r="AF115" s="94">
        <f ca="1">ROUND((0.6*TblExplore[[#This Row],[Land-DB]]^1.299 + IF(TblExplore[[#This Row],[Land-DB]]&lt;1520, (-0.001*(TblExplore[[#This Row],[Land-DB]]^2)+1.91*TblExplore[[#This Row],[Land-DB]]-593), 0))*(1+ tech_2_6*Techs!AC115 + tech_2_9*Techs!AF115 + tech_3_7*Techs!AN115 + Overview!$I$33),0)</f>
        <v>-126</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-1676</v>
      </c>
    </row>
    <row r="116" spans="1:36" x14ac:dyDescent="0.2">
      <c r="A116" s="175">
        <f>TblRezone[[#This Row],[Hour]]</f>
        <v>113</v>
      </c>
      <c r="B116" s="214">
        <f ca="1">TblConstr[[#This Row],[Land]]</f>
        <v>110</v>
      </c>
      <c r="C116" s="215"/>
      <c r="D116" s="216">
        <f ca="1">TblConstr[[#This Row],[Plain]]</f>
        <v>60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110</v>
      </c>
      <c r="R116" s="175">
        <f>TblExplore[[#This Row],[Hour]]</f>
        <v>113</v>
      </c>
      <c r="S116" s="218"/>
      <c r="T116" s="179"/>
      <c r="U116" s="179"/>
      <c r="V116" s="179"/>
      <c r="W116" s="179"/>
      <c r="X116" s="179"/>
      <c r="Y116" s="179"/>
      <c r="Z116" s="179"/>
      <c r="AA116" s="159">
        <f ca="1">TblImps[[#This Row],[Real time]]</f>
        <v>46106.416666666395</v>
      </c>
      <c r="AB116" s="94">
        <f ca="1">TblMili[[#This Row],[Draftees]]</f>
        <v>750</v>
      </c>
      <c r="AC116" s="94">
        <f ca="1">TblProd[[#This Row],[Platinum]]</f>
        <v>212055</v>
      </c>
      <c r="AD116" s="215"/>
      <c r="AE116" s="45">
        <f ca="1">TblExplore[[#This Row],[Land]]-TblExplore[[#This Row],[Land Bonus]]*20</f>
        <v>110</v>
      </c>
      <c r="AF116" s="94">
        <f ca="1">ROUND((0.6*TblExplore[[#This Row],[Land-DB]]^1.299 + IF(TblExplore[[#This Row],[Land-DB]]&lt;1520, (-0.001*(TblExplore[[#This Row],[Land-DB]]^2)+1.91*TblExplore[[#This Row],[Land-DB]]-593), 0))*(1+ tech_2_6*Techs!AC116 + tech_2_9*Techs!AF116 + tech_3_7*Techs!AN116 + Overview!$I$33),0)</f>
        <v>-126</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-1683</v>
      </c>
    </row>
    <row r="117" spans="1:36" x14ac:dyDescent="0.2">
      <c r="A117" s="175">
        <f>TblRezone[[#This Row],[Hour]]</f>
        <v>114</v>
      </c>
      <c r="B117" s="214">
        <f ca="1">TblConstr[[#This Row],[Land]]</f>
        <v>110</v>
      </c>
      <c r="C117" s="215"/>
      <c r="D117" s="216">
        <f ca="1">TblConstr[[#This Row],[Plain]]</f>
        <v>60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110</v>
      </c>
      <c r="R117" s="175">
        <f>TblExplore[[#This Row],[Hour]]</f>
        <v>114</v>
      </c>
      <c r="S117" s="218"/>
      <c r="T117" s="179"/>
      <c r="U117" s="179"/>
      <c r="V117" s="179"/>
      <c r="W117" s="179"/>
      <c r="X117" s="179"/>
      <c r="Y117" s="179"/>
      <c r="Z117" s="179"/>
      <c r="AA117" s="159">
        <f ca="1">TblImps[[#This Row],[Real time]]</f>
        <v>46106.458333333059</v>
      </c>
      <c r="AB117" s="94">
        <f ca="1">TblMili[[#This Row],[Draftees]]</f>
        <v>753</v>
      </c>
      <c r="AC117" s="94">
        <f ca="1">TblProd[[#This Row],[Platinum]]</f>
        <v>212935</v>
      </c>
      <c r="AD117" s="215"/>
      <c r="AE117" s="45">
        <f ca="1">TblExplore[[#This Row],[Land]]-TblExplore[[#This Row],[Land Bonus]]*20</f>
        <v>110</v>
      </c>
      <c r="AF117" s="94">
        <f ca="1">ROUND((0.6*TblExplore[[#This Row],[Land-DB]]^1.299 + IF(TblExplore[[#This Row],[Land-DB]]&lt;1520, (-0.001*(TblExplore[[#This Row],[Land-DB]]^2)+1.91*TblExplore[[#This Row],[Land-DB]]-593), 0))*(1+ tech_2_6*Techs!AC117 + tech_2_9*Techs!AF117 + tech_3_7*Techs!AN117 + Overview!$I$33),0)</f>
        <v>-126</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-1690</v>
      </c>
    </row>
    <row r="118" spans="1:36" x14ac:dyDescent="0.2">
      <c r="A118" s="175">
        <f>TblRezone[[#This Row],[Hour]]</f>
        <v>115</v>
      </c>
      <c r="B118" s="214">
        <f ca="1">TblConstr[[#This Row],[Land]]</f>
        <v>110</v>
      </c>
      <c r="C118" s="215"/>
      <c r="D118" s="216">
        <f ca="1">TblConstr[[#This Row],[Plain]]</f>
        <v>60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110</v>
      </c>
      <c r="R118" s="175">
        <f>TblExplore[[#This Row],[Hour]]</f>
        <v>115</v>
      </c>
      <c r="S118" s="218"/>
      <c r="T118" s="179"/>
      <c r="U118" s="179"/>
      <c r="V118" s="179"/>
      <c r="W118" s="179"/>
      <c r="X118" s="179"/>
      <c r="Y118" s="179"/>
      <c r="Z118" s="179"/>
      <c r="AA118" s="159">
        <f ca="1">TblImps[[#This Row],[Real time]]</f>
        <v>46106.499999999724</v>
      </c>
      <c r="AB118" s="94">
        <f ca="1">TblMili[[#This Row],[Draftees]]</f>
        <v>756</v>
      </c>
      <c r="AC118" s="94">
        <f ca="1">TblProd[[#This Row],[Platinum]]</f>
        <v>213807</v>
      </c>
      <c r="AD118" s="215"/>
      <c r="AE118" s="45">
        <f ca="1">TblExplore[[#This Row],[Land]]-TblExplore[[#This Row],[Land Bonus]]*20</f>
        <v>110</v>
      </c>
      <c r="AF118" s="94">
        <f ca="1">ROUND((0.6*TblExplore[[#This Row],[Land-DB]]^1.299 + IF(TblExplore[[#This Row],[Land-DB]]&lt;1520, (-0.001*(TblExplore[[#This Row],[Land-DB]]^2)+1.91*TblExplore[[#This Row],[Land-DB]]-593), 0))*(1+ tech_2_6*Techs!AC118 + tech_2_9*Techs!AF118 + tech_3_7*Techs!AN118 + Overview!$I$33),0)</f>
        <v>-126</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-1697</v>
      </c>
    </row>
    <row r="119" spans="1:36" x14ac:dyDescent="0.2">
      <c r="A119" s="175">
        <f>TblRezone[[#This Row],[Hour]]</f>
        <v>116</v>
      </c>
      <c r="B119" s="214">
        <f ca="1">TblConstr[[#This Row],[Land]]</f>
        <v>110</v>
      </c>
      <c r="C119" s="215"/>
      <c r="D119" s="216">
        <f ca="1">TblConstr[[#This Row],[Plain]]</f>
        <v>60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110</v>
      </c>
      <c r="R119" s="175">
        <f>TblExplore[[#This Row],[Hour]]</f>
        <v>116</v>
      </c>
      <c r="S119" s="218"/>
      <c r="T119" s="179"/>
      <c r="U119" s="179"/>
      <c r="V119" s="179"/>
      <c r="W119" s="179"/>
      <c r="X119" s="179"/>
      <c r="Y119" s="179"/>
      <c r="Z119" s="179"/>
      <c r="AA119" s="159">
        <f ca="1">TblImps[[#This Row],[Real time]]</f>
        <v>46106.541666666388</v>
      </c>
      <c r="AB119" s="94">
        <f ca="1">TblMili[[#This Row],[Draftees]]</f>
        <v>759</v>
      </c>
      <c r="AC119" s="94">
        <f ca="1">TblProd[[#This Row],[Platinum]]</f>
        <v>214671</v>
      </c>
      <c r="AD119" s="215"/>
      <c r="AE119" s="45">
        <f ca="1">TblExplore[[#This Row],[Land]]-TblExplore[[#This Row],[Land Bonus]]*20</f>
        <v>110</v>
      </c>
      <c r="AF119" s="94">
        <f ca="1">ROUND((0.6*TblExplore[[#This Row],[Land-DB]]^1.299 + IF(TblExplore[[#This Row],[Land-DB]]&lt;1520, (-0.001*(TblExplore[[#This Row],[Land-DB]]^2)+1.91*TblExplore[[#This Row],[Land-DB]]-593), 0))*(1+ tech_2_6*Techs!AC119 + tech_2_9*Techs!AF119 + tech_3_7*Techs!AN119 + Overview!$I$33),0)</f>
        <v>-126</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-1704</v>
      </c>
    </row>
    <row r="120" spans="1:36" x14ac:dyDescent="0.2">
      <c r="A120" s="175">
        <f>TblRezone[[#This Row],[Hour]]</f>
        <v>117</v>
      </c>
      <c r="B120" s="214">
        <f ca="1">TblConstr[[#This Row],[Land]]</f>
        <v>110</v>
      </c>
      <c r="C120" s="215"/>
      <c r="D120" s="216">
        <f ca="1">TblConstr[[#This Row],[Plain]]</f>
        <v>60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110</v>
      </c>
      <c r="R120" s="175">
        <f>TblExplore[[#This Row],[Hour]]</f>
        <v>117</v>
      </c>
      <c r="S120" s="218"/>
      <c r="T120" s="179"/>
      <c r="U120" s="179"/>
      <c r="V120" s="179"/>
      <c r="W120" s="179"/>
      <c r="X120" s="179"/>
      <c r="Y120" s="179"/>
      <c r="Z120" s="179"/>
      <c r="AA120" s="159">
        <f ca="1">TblImps[[#This Row],[Real time]]</f>
        <v>46106.583333333052</v>
      </c>
      <c r="AB120" s="94">
        <f ca="1">TblMili[[#This Row],[Draftees]]</f>
        <v>762</v>
      </c>
      <c r="AC120" s="94">
        <f ca="1">TblProd[[#This Row],[Platinum]]</f>
        <v>215526</v>
      </c>
      <c r="AD120" s="215"/>
      <c r="AE120" s="45">
        <f ca="1">TblExplore[[#This Row],[Land]]-TblExplore[[#This Row],[Land Bonus]]*20</f>
        <v>110</v>
      </c>
      <c r="AF120" s="94">
        <f ca="1">ROUND((0.6*TblExplore[[#This Row],[Land-DB]]^1.299 + IF(TblExplore[[#This Row],[Land-DB]]&lt;1520, (-0.001*(TblExplore[[#This Row],[Land-DB]]^2)+1.91*TblExplore[[#This Row],[Land-DB]]-593), 0))*(1+ tech_2_6*Techs!AC120 + tech_2_9*Techs!AF120 + tech_3_7*Techs!AN120 + Overview!$I$33),0)</f>
        <v>-126</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-1711</v>
      </c>
    </row>
    <row r="121" spans="1:36" x14ac:dyDescent="0.2">
      <c r="A121" s="175">
        <f>TblRezone[[#This Row],[Hour]]</f>
        <v>118</v>
      </c>
      <c r="B121" s="214">
        <f ca="1">TblConstr[[#This Row],[Land]]</f>
        <v>110</v>
      </c>
      <c r="C121" s="215"/>
      <c r="D121" s="216">
        <f ca="1">TblConstr[[#This Row],[Plain]]</f>
        <v>60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110</v>
      </c>
      <c r="R121" s="175">
        <f>TblExplore[[#This Row],[Hour]]</f>
        <v>118</v>
      </c>
      <c r="S121" s="218"/>
      <c r="T121" s="179"/>
      <c r="U121" s="179"/>
      <c r="V121" s="179"/>
      <c r="W121" s="179"/>
      <c r="X121" s="179"/>
      <c r="Y121" s="179"/>
      <c r="Z121" s="179"/>
      <c r="AA121" s="159">
        <f ca="1">TblImps[[#This Row],[Real time]]</f>
        <v>46106.624999999716</v>
      </c>
      <c r="AB121" s="94">
        <f ca="1">TblMili[[#This Row],[Draftees]]</f>
        <v>765</v>
      </c>
      <c r="AC121" s="94">
        <f ca="1">TblProd[[#This Row],[Platinum]]</f>
        <v>216373</v>
      </c>
      <c r="AD121" s="215"/>
      <c r="AE121" s="45">
        <f ca="1">TblExplore[[#This Row],[Land]]-TblExplore[[#This Row],[Land Bonus]]*20</f>
        <v>110</v>
      </c>
      <c r="AF121" s="94">
        <f ca="1">ROUND((0.6*TblExplore[[#This Row],[Land-DB]]^1.299 + IF(TblExplore[[#This Row],[Land-DB]]&lt;1520, (-0.001*(TblExplore[[#This Row],[Land-DB]]^2)+1.91*TblExplore[[#This Row],[Land-DB]]-593), 0))*(1+ tech_2_6*Techs!AC121 + tech_2_9*Techs!AF121 + tech_3_7*Techs!AN121 + Overview!$I$33),0)</f>
        <v>-126</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-1718</v>
      </c>
    </row>
    <row r="122" spans="1:36" x14ac:dyDescent="0.2">
      <c r="A122" s="175">
        <f>TblRezone[[#This Row],[Hour]]</f>
        <v>119</v>
      </c>
      <c r="B122" s="214">
        <f ca="1">TblConstr[[#This Row],[Land]]</f>
        <v>110</v>
      </c>
      <c r="C122" s="215"/>
      <c r="D122" s="216">
        <f ca="1">TblConstr[[#This Row],[Plain]]</f>
        <v>60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110</v>
      </c>
      <c r="R122" s="175">
        <f>TblExplore[[#This Row],[Hour]]</f>
        <v>119</v>
      </c>
      <c r="S122" s="218"/>
      <c r="T122" s="179"/>
      <c r="U122" s="179"/>
      <c r="V122" s="179"/>
      <c r="W122" s="179"/>
      <c r="X122" s="179"/>
      <c r="Y122" s="179"/>
      <c r="Z122" s="179"/>
      <c r="AA122" s="159">
        <f ca="1">TblImps[[#This Row],[Real time]]</f>
        <v>46106.66666666638</v>
      </c>
      <c r="AB122" s="94">
        <f ca="1">TblMili[[#This Row],[Draftees]]</f>
        <v>768</v>
      </c>
      <c r="AC122" s="94">
        <f ca="1">TblProd[[#This Row],[Platinum]]</f>
        <v>217212</v>
      </c>
      <c r="AD122" s="215"/>
      <c r="AE122" s="45">
        <f ca="1">TblExplore[[#This Row],[Land]]-TblExplore[[#This Row],[Land Bonus]]*20</f>
        <v>110</v>
      </c>
      <c r="AF122" s="94">
        <f ca="1">ROUND((0.6*TblExplore[[#This Row],[Land-DB]]^1.299 + IF(TblExplore[[#This Row],[Land-DB]]&lt;1520, (-0.001*(TblExplore[[#This Row],[Land-DB]]^2)+1.91*TblExplore[[#This Row],[Land-DB]]-593), 0))*(1+ tech_2_6*Techs!AC122 + tech_2_9*Techs!AF122 + tech_3_7*Techs!AN122 + Overview!$I$33),0)</f>
        <v>-126</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-1724</v>
      </c>
    </row>
    <row r="123" spans="1:36" x14ac:dyDescent="0.2">
      <c r="A123" s="175">
        <f>TblRezone[[#This Row],[Hour]]</f>
        <v>120</v>
      </c>
      <c r="B123" s="214">
        <f ca="1">TblConstr[[#This Row],[Land]]</f>
        <v>110</v>
      </c>
      <c r="C123" s="215"/>
      <c r="D123" s="216">
        <f ca="1">TblConstr[[#This Row],[Plain]]</f>
        <v>60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110</v>
      </c>
      <c r="R123" s="175">
        <f>TblExplore[[#This Row],[Hour]]</f>
        <v>120</v>
      </c>
      <c r="S123" s="218"/>
      <c r="T123" s="179"/>
      <c r="U123" s="179"/>
      <c r="V123" s="179"/>
      <c r="W123" s="179"/>
      <c r="X123" s="179"/>
      <c r="Y123" s="179"/>
      <c r="Z123" s="179"/>
      <c r="AA123" s="159">
        <f ca="1">TblImps[[#This Row],[Real time]]</f>
        <v>46106.708333333045</v>
      </c>
      <c r="AB123" s="94">
        <f ca="1">TblMili[[#This Row],[Draftees]]</f>
        <v>771</v>
      </c>
      <c r="AC123" s="94">
        <f ca="1">TblProd[[#This Row],[Platinum]]</f>
        <v>218043</v>
      </c>
      <c r="AD123" s="215"/>
      <c r="AE123" s="45">
        <f ca="1">TblExplore[[#This Row],[Land]]-TblExplore[[#This Row],[Land Bonus]]*20</f>
        <v>110</v>
      </c>
      <c r="AF123" s="94">
        <f ca="1">ROUND((0.6*TblExplore[[#This Row],[Land-DB]]^1.299 + IF(TblExplore[[#This Row],[Land-DB]]&lt;1520, (-0.001*(TblExplore[[#This Row],[Land-DB]]^2)+1.91*TblExplore[[#This Row],[Land-DB]]-593), 0))*(1+ tech_2_6*Techs!AC123 + tech_2_9*Techs!AF123 + tech_3_7*Techs!AN123 + Overview!$I$33),0)</f>
        <v>-126</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-1731</v>
      </c>
    </row>
    <row r="124" spans="1:36" x14ac:dyDescent="0.2">
      <c r="A124" s="175">
        <f>TblRezone[[#This Row],[Hour]]</f>
        <v>121</v>
      </c>
      <c r="B124" s="214">
        <f ca="1">TblConstr[[#This Row],[Land]]</f>
        <v>110</v>
      </c>
      <c r="C124" s="215"/>
      <c r="D124" s="216">
        <f ca="1">TblConstr[[#This Row],[Plain]]</f>
        <v>60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110</v>
      </c>
      <c r="R124" s="175">
        <f>TblExplore[[#This Row],[Hour]]</f>
        <v>121</v>
      </c>
      <c r="S124" s="218"/>
      <c r="T124" s="179"/>
      <c r="U124" s="179"/>
      <c r="V124" s="179"/>
      <c r="W124" s="179"/>
      <c r="X124" s="179"/>
      <c r="Y124" s="179"/>
      <c r="Z124" s="179"/>
      <c r="AA124" s="159">
        <f ca="1">TblImps[[#This Row],[Real time]]</f>
        <v>46106.749999999709</v>
      </c>
      <c r="AB124" s="94">
        <f ca="1">TblMili[[#This Row],[Draftees]]</f>
        <v>774</v>
      </c>
      <c r="AC124" s="94">
        <f ca="1">TblProd[[#This Row],[Platinum]]</f>
        <v>218866</v>
      </c>
      <c r="AD124" s="215"/>
      <c r="AE124" s="45">
        <f ca="1">TblExplore[[#This Row],[Land]]-TblExplore[[#This Row],[Land Bonus]]*20</f>
        <v>110</v>
      </c>
      <c r="AF124" s="94">
        <f ca="1">ROUND((0.6*TblExplore[[#This Row],[Land-DB]]^1.299 + IF(TblExplore[[#This Row],[Land-DB]]&lt;1520, (-0.001*(TblExplore[[#This Row],[Land-DB]]^2)+1.91*TblExplore[[#This Row],[Land-DB]]-593), 0))*(1+ tech_2_6*Techs!AC124 + tech_2_9*Techs!AF124 + tech_3_7*Techs!AN124 + Overview!$I$33),0)</f>
        <v>-126</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-1738</v>
      </c>
    </row>
    <row r="125" spans="1:36" x14ac:dyDescent="0.2">
      <c r="A125" s="175">
        <f>TblRezone[[#This Row],[Hour]]</f>
        <v>122</v>
      </c>
      <c r="B125" s="214">
        <f ca="1">TblConstr[[#This Row],[Land]]</f>
        <v>110</v>
      </c>
      <c r="C125" s="215"/>
      <c r="D125" s="216">
        <f ca="1">TblConstr[[#This Row],[Plain]]</f>
        <v>60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110</v>
      </c>
      <c r="R125" s="175">
        <f>TblExplore[[#This Row],[Hour]]</f>
        <v>122</v>
      </c>
      <c r="S125" s="218"/>
      <c r="T125" s="179"/>
      <c r="U125" s="179"/>
      <c r="V125" s="179"/>
      <c r="W125" s="179"/>
      <c r="X125" s="179"/>
      <c r="Y125" s="179"/>
      <c r="Z125" s="179"/>
      <c r="AA125" s="159">
        <f ca="1">TblImps[[#This Row],[Real time]]</f>
        <v>46106.791666666373</v>
      </c>
      <c r="AB125" s="94">
        <f ca="1">TblMili[[#This Row],[Draftees]]</f>
        <v>777</v>
      </c>
      <c r="AC125" s="94">
        <f ca="1">TblProd[[#This Row],[Platinum]]</f>
        <v>219681</v>
      </c>
      <c r="AD125" s="215"/>
      <c r="AE125" s="45">
        <f ca="1">TblExplore[[#This Row],[Land]]-TblExplore[[#This Row],[Land Bonus]]*20</f>
        <v>110</v>
      </c>
      <c r="AF125" s="94">
        <f ca="1">ROUND((0.6*TblExplore[[#This Row],[Land-DB]]^1.299 + IF(TblExplore[[#This Row],[Land-DB]]&lt;1520, (-0.001*(TblExplore[[#This Row],[Land-DB]]^2)+1.91*TblExplore[[#This Row],[Land-DB]]-593), 0))*(1+ tech_2_6*Techs!AC125 + tech_2_9*Techs!AF125 + tech_3_7*Techs!AN125 + Overview!$I$33),0)</f>
        <v>-126</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-1744</v>
      </c>
    </row>
    <row r="126" spans="1:36" x14ac:dyDescent="0.2">
      <c r="A126" s="175">
        <f>TblRezone[[#This Row],[Hour]]</f>
        <v>123</v>
      </c>
      <c r="B126" s="214">
        <f ca="1">TblConstr[[#This Row],[Land]]</f>
        <v>110</v>
      </c>
      <c r="C126" s="215"/>
      <c r="D126" s="216">
        <f ca="1">TblConstr[[#This Row],[Plain]]</f>
        <v>60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110</v>
      </c>
      <c r="R126" s="175">
        <f>TblExplore[[#This Row],[Hour]]</f>
        <v>123</v>
      </c>
      <c r="S126" s="218"/>
      <c r="T126" s="179"/>
      <c r="U126" s="179"/>
      <c r="V126" s="179"/>
      <c r="W126" s="179"/>
      <c r="X126" s="179"/>
      <c r="Y126" s="179"/>
      <c r="Z126" s="179"/>
      <c r="AA126" s="159">
        <f ca="1">TblImps[[#This Row],[Real time]]</f>
        <v>46106.833333333037</v>
      </c>
      <c r="AB126" s="94">
        <f ca="1">TblMili[[#This Row],[Draftees]]</f>
        <v>780</v>
      </c>
      <c r="AC126" s="94">
        <f ca="1">TblProd[[#This Row],[Platinum]]</f>
        <v>220488</v>
      </c>
      <c r="AD126" s="215"/>
      <c r="AE126" s="45">
        <f ca="1">TblExplore[[#This Row],[Land]]-TblExplore[[#This Row],[Land Bonus]]*20</f>
        <v>110</v>
      </c>
      <c r="AF126" s="94">
        <f ca="1">ROUND((0.6*TblExplore[[#This Row],[Land-DB]]^1.299 + IF(TblExplore[[#This Row],[Land-DB]]&lt;1520, (-0.001*(TblExplore[[#This Row],[Land-DB]]^2)+1.91*TblExplore[[#This Row],[Land-DB]]-593), 0))*(1+ tech_2_6*Techs!AC126 + tech_2_9*Techs!AF126 + tech_3_7*Techs!AN126 + Overview!$I$33),0)</f>
        <v>-126</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-1750</v>
      </c>
    </row>
    <row r="127" spans="1:36" x14ac:dyDescent="0.2">
      <c r="A127" s="175">
        <f>TblRezone[[#This Row],[Hour]]</f>
        <v>124</v>
      </c>
      <c r="B127" s="214">
        <f ca="1">TblConstr[[#This Row],[Land]]</f>
        <v>110</v>
      </c>
      <c r="C127" s="215"/>
      <c r="D127" s="216">
        <f ca="1">TblConstr[[#This Row],[Plain]]</f>
        <v>60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110</v>
      </c>
      <c r="R127" s="175">
        <f>TblExplore[[#This Row],[Hour]]</f>
        <v>124</v>
      </c>
      <c r="S127" s="218"/>
      <c r="T127" s="179"/>
      <c r="U127" s="179"/>
      <c r="V127" s="179"/>
      <c r="W127" s="179"/>
      <c r="X127" s="179"/>
      <c r="Y127" s="179"/>
      <c r="Z127" s="179"/>
      <c r="AA127" s="159">
        <f ca="1">TblImps[[#This Row],[Real time]]</f>
        <v>46106.874999999702</v>
      </c>
      <c r="AB127" s="94">
        <f ca="1">TblMili[[#This Row],[Draftees]]</f>
        <v>783</v>
      </c>
      <c r="AC127" s="94">
        <f ca="1">TblProd[[#This Row],[Platinum]]</f>
        <v>221287</v>
      </c>
      <c r="AD127" s="215"/>
      <c r="AE127" s="45">
        <f ca="1">TblExplore[[#This Row],[Land]]-TblExplore[[#This Row],[Land Bonus]]*20</f>
        <v>110</v>
      </c>
      <c r="AF127" s="94">
        <f ca="1">ROUND((0.6*TblExplore[[#This Row],[Land-DB]]^1.299 + IF(TblExplore[[#This Row],[Land-DB]]&lt;1520, (-0.001*(TblExplore[[#This Row],[Land-DB]]^2)+1.91*TblExplore[[#This Row],[Land-DB]]-593), 0))*(1+ tech_2_6*Techs!AC127 + tech_2_9*Techs!AF127 + tech_3_7*Techs!AN127 + Overview!$I$33),0)</f>
        <v>-126</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-1757</v>
      </c>
    </row>
    <row r="128" spans="1:36" x14ac:dyDescent="0.2">
      <c r="A128" s="175">
        <f>TblRezone[[#This Row],[Hour]]</f>
        <v>125</v>
      </c>
      <c r="B128" s="214">
        <f ca="1">TblConstr[[#This Row],[Land]]</f>
        <v>110</v>
      </c>
      <c r="C128" s="215"/>
      <c r="D128" s="216">
        <f ca="1">TblConstr[[#This Row],[Plain]]</f>
        <v>60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110</v>
      </c>
      <c r="R128" s="175">
        <f>TblExplore[[#This Row],[Hour]]</f>
        <v>125</v>
      </c>
      <c r="S128" s="218"/>
      <c r="T128" s="179"/>
      <c r="U128" s="179"/>
      <c r="V128" s="179"/>
      <c r="W128" s="179"/>
      <c r="X128" s="179"/>
      <c r="Y128" s="179"/>
      <c r="Z128" s="179"/>
      <c r="AA128" s="159">
        <f ca="1">TblImps[[#This Row],[Real time]]</f>
        <v>46106.916666666366</v>
      </c>
      <c r="AB128" s="94">
        <f ca="1">TblMili[[#This Row],[Draftees]]</f>
        <v>786</v>
      </c>
      <c r="AC128" s="94">
        <f ca="1">TblProd[[#This Row],[Platinum]]</f>
        <v>222078</v>
      </c>
      <c r="AD128" s="215"/>
      <c r="AE128" s="45">
        <f ca="1">TblExplore[[#This Row],[Land]]-TblExplore[[#This Row],[Land Bonus]]*20</f>
        <v>110</v>
      </c>
      <c r="AF128" s="94">
        <f ca="1">ROUND((0.6*TblExplore[[#This Row],[Land-DB]]^1.299 + IF(TblExplore[[#This Row],[Land-DB]]&lt;1520, (-0.001*(TblExplore[[#This Row],[Land-DB]]^2)+1.91*TblExplore[[#This Row],[Land-DB]]-593), 0))*(1+ tech_2_6*Techs!AC128 + tech_2_9*Techs!AF128 + tech_3_7*Techs!AN128 + Overview!$I$33),0)</f>
        <v>-126</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-1763</v>
      </c>
    </row>
    <row r="129" spans="1:36" x14ac:dyDescent="0.2">
      <c r="A129" s="175">
        <f>TblRezone[[#This Row],[Hour]]</f>
        <v>126</v>
      </c>
      <c r="B129" s="214">
        <f ca="1">TblConstr[[#This Row],[Land]]</f>
        <v>110</v>
      </c>
      <c r="C129" s="215"/>
      <c r="D129" s="216">
        <f ca="1">TblConstr[[#This Row],[Plain]]</f>
        <v>60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110</v>
      </c>
      <c r="R129" s="175">
        <f>TblExplore[[#This Row],[Hour]]</f>
        <v>126</v>
      </c>
      <c r="S129" s="218"/>
      <c r="T129" s="179"/>
      <c r="U129" s="179"/>
      <c r="V129" s="179"/>
      <c r="W129" s="179"/>
      <c r="X129" s="179"/>
      <c r="Y129" s="179"/>
      <c r="Z129" s="179"/>
      <c r="AA129" s="159">
        <f ca="1">TblImps[[#This Row],[Real time]]</f>
        <v>46106.95833333303</v>
      </c>
      <c r="AB129" s="94">
        <f ca="1">TblMili[[#This Row],[Draftees]]</f>
        <v>789</v>
      </c>
      <c r="AC129" s="94">
        <f ca="1">TblProd[[#This Row],[Platinum]]</f>
        <v>222861</v>
      </c>
      <c r="AD129" s="215"/>
      <c r="AE129" s="45">
        <f ca="1">TblExplore[[#This Row],[Land]]-TblExplore[[#This Row],[Land Bonus]]*20</f>
        <v>110</v>
      </c>
      <c r="AF129" s="94">
        <f ca="1">ROUND((0.6*TblExplore[[#This Row],[Land-DB]]^1.299 + IF(TblExplore[[#This Row],[Land-DB]]&lt;1520, (-0.001*(TblExplore[[#This Row],[Land-DB]]^2)+1.91*TblExplore[[#This Row],[Land-DB]]-593), 0))*(1+ tech_2_6*Techs!AC129 + tech_2_9*Techs!AF129 + tech_3_7*Techs!AN129 + Overview!$I$33),0)</f>
        <v>-126</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-1769</v>
      </c>
    </row>
    <row r="130" spans="1:36" x14ac:dyDescent="0.2">
      <c r="A130" s="175">
        <f>TblRezone[[#This Row],[Hour]]</f>
        <v>127</v>
      </c>
      <c r="B130" s="214">
        <f ca="1">TblConstr[[#This Row],[Land]]</f>
        <v>110</v>
      </c>
      <c r="C130" s="215"/>
      <c r="D130" s="216">
        <f ca="1">TblConstr[[#This Row],[Plain]]</f>
        <v>60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110</v>
      </c>
      <c r="R130" s="175">
        <f>TblExplore[[#This Row],[Hour]]</f>
        <v>127</v>
      </c>
      <c r="S130" s="218"/>
      <c r="T130" s="179"/>
      <c r="U130" s="179"/>
      <c r="V130" s="179"/>
      <c r="W130" s="179"/>
      <c r="X130" s="179"/>
      <c r="Y130" s="179"/>
      <c r="Z130" s="179"/>
      <c r="AA130" s="159">
        <f ca="1">TblImps[[#This Row],[Real time]]</f>
        <v>46106.999999999694</v>
      </c>
      <c r="AB130" s="94">
        <f ca="1">TblMili[[#This Row],[Draftees]]</f>
        <v>792</v>
      </c>
      <c r="AC130" s="94">
        <f ca="1">TblProd[[#This Row],[Platinum]]</f>
        <v>223635</v>
      </c>
      <c r="AD130" s="215"/>
      <c r="AE130" s="45">
        <f ca="1">TblExplore[[#This Row],[Land]]-TblExplore[[#This Row],[Land Bonus]]*20</f>
        <v>110</v>
      </c>
      <c r="AF130" s="94">
        <f ca="1">ROUND((0.6*TblExplore[[#This Row],[Land-DB]]^1.299 + IF(TblExplore[[#This Row],[Land-DB]]&lt;1520, (-0.001*(TblExplore[[#This Row],[Land-DB]]^2)+1.91*TblExplore[[#This Row],[Land-DB]]-593), 0))*(1+ tech_2_6*Techs!AC130 + tech_2_9*Techs!AF130 + tech_3_7*Techs!AN130 + Overview!$I$33),0)</f>
        <v>-126</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-1775</v>
      </c>
    </row>
    <row r="131" spans="1:36" x14ac:dyDescent="0.2">
      <c r="A131" s="175">
        <f>TblRezone[[#This Row],[Hour]]</f>
        <v>128</v>
      </c>
      <c r="B131" s="214">
        <f ca="1">TblConstr[[#This Row],[Land]]</f>
        <v>110</v>
      </c>
      <c r="C131" s="215"/>
      <c r="D131" s="216">
        <f ca="1">TblConstr[[#This Row],[Plain]]</f>
        <v>60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110</v>
      </c>
      <c r="R131" s="175">
        <f>TblExplore[[#This Row],[Hour]]</f>
        <v>128</v>
      </c>
      <c r="S131" s="218"/>
      <c r="T131" s="179"/>
      <c r="U131" s="179"/>
      <c r="V131" s="179"/>
      <c r="W131" s="179"/>
      <c r="X131" s="179"/>
      <c r="Y131" s="179"/>
      <c r="Z131" s="179"/>
      <c r="AA131" s="159">
        <f ca="1">TblImps[[#This Row],[Real time]]</f>
        <v>46107.041666666359</v>
      </c>
      <c r="AB131" s="94">
        <f ca="1">TblMili[[#This Row],[Draftees]]</f>
        <v>795</v>
      </c>
      <c r="AC131" s="94">
        <f ca="1">TblProd[[#This Row],[Platinum]]</f>
        <v>224401</v>
      </c>
      <c r="AD131" s="215"/>
      <c r="AE131" s="45">
        <f ca="1">TblExplore[[#This Row],[Land]]-TblExplore[[#This Row],[Land Bonus]]*20</f>
        <v>110</v>
      </c>
      <c r="AF131" s="94">
        <f ca="1">ROUND((0.6*TblExplore[[#This Row],[Land-DB]]^1.299 + IF(TblExplore[[#This Row],[Land-DB]]&lt;1520, (-0.001*(TblExplore[[#This Row],[Land-DB]]^2)+1.91*TblExplore[[#This Row],[Land-DB]]-593), 0))*(1+ tech_2_6*Techs!AC131 + tech_2_9*Techs!AF131 + tech_3_7*Techs!AN131 + Overview!$I$33),0)</f>
        <v>-126</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-1781</v>
      </c>
    </row>
    <row r="132" spans="1:36" x14ac:dyDescent="0.2">
      <c r="A132" s="175">
        <f>TblRezone[[#This Row],[Hour]]</f>
        <v>129</v>
      </c>
      <c r="B132" s="214">
        <f ca="1">TblConstr[[#This Row],[Land]]</f>
        <v>110</v>
      </c>
      <c r="C132" s="215"/>
      <c r="D132" s="216">
        <f ca="1">TblConstr[[#This Row],[Plain]]</f>
        <v>60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110</v>
      </c>
      <c r="R132" s="175">
        <f>TblExplore[[#This Row],[Hour]]</f>
        <v>129</v>
      </c>
      <c r="S132" s="218"/>
      <c r="T132" s="179"/>
      <c r="U132" s="179"/>
      <c r="V132" s="179"/>
      <c r="W132" s="179"/>
      <c r="X132" s="179"/>
      <c r="Y132" s="179"/>
      <c r="Z132" s="179"/>
      <c r="AA132" s="159">
        <f ca="1">TblImps[[#This Row],[Real time]]</f>
        <v>46107.083333333023</v>
      </c>
      <c r="AB132" s="94">
        <f ca="1">TblMili[[#This Row],[Draftees]]</f>
        <v>798</v>
      </c>
      <c r="AC132" s="94">
        <f ca="1">TblProd[[#This Row],[Platinum]]</f>
        <v>225159</v>
      </c>
      <c r="AD132" s="215"/>
      <c r="AE132" s="45">
        <f ca="1">TblExplore[[#This Row],[Land]]-TblExplore[[#This Row],[Land Bonus]]*20</f>
        <v>110</v>
      </c>
      <c r="AF132" s="94">
        <f ca="1">ROUND((0.6*TblExplore[[#This Row],[Land-DB]]^1.299 + IF(TblExplore[[#This Row],[Land-DB]]&lt;1520, (-0.001*(TblExplore[[#This Row],[Land-DB]]^2)+1.91*TblExplore[[#This Row],[Land-DB]]-593), 0))*(1+ tech_2_6*Techs!AC132 + tech_2_9*Techs!AF132 + tech_3_7*Techs!AN132 + Overview!$I$33),0)</f>
        <v>-126</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-1787</v>
      </c>
    </row>
    <row r="133" spans="1:36" x14ac:dyDescent="0.2">
      <c r="A133" s="175">
        <f>TblRezone[[#This Row],[Hour]]</f>
        <v>130</v>
      </c>
      <c r="B133" s="214">
        <f ca="1">TblConstr[[#This Row],[Land]]</f>
        <v>110</v>
      </c>
      <c r="C133" s="215"/>
      <c r="D133" s="216">
        <f ca="1">TblConstr[[#This Row],[Plain]]</f>
        <v>60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110</v>
      </c>
      <c r="R133" s="175">
        <f>TblExplore[[#This Row],[Hour]]</f>
        <v>130</v>
      </c>
      <c r="S133" s="218"/>
      <c r="T133" s="179"/>
      <c r="U133" s="179"/>
      <c r="V133" s="179"/>
      <c r="W133" s="179"/>
      <c r="X133" s="179"/>
      <c r="Y133" s="179"/>
      <c r="Z133" s="179"/>
      <c r="AA133" s="159">
        <f ca="1">TblImps[[#This Row],[Real time]]</f>
        <v>46107.124999999687</v>
      </c>
      <c r="AB133" s="94">
        <f ca="1">TblMili[[#This Row],[Draftees]]</f>
        <v>801</v>
      </c>
      <c r="AC133" s="94">
        <f ca="1">TblProd[[#This Row],[Platinum]]</f>
        <v>225909</v>
      </c>
      <c r="AD133" s="215"/>
      <c r="AE133" s="45">
        <f ca="1">TblExplore[[#This Row],[Land]]-TblExplore[[#This Row],[Land Bonus]]*20</f>
        <v>110</v>
      </c>
      <c r="AF133" s="94">
        <f ca="1">ROUND((0.6*TblExplore[[#This Row],[Land-DB]]^1.299 + IF(TblExplore[[#This Row],[Land-DB]]&lt;1520, (-0.001*(TblExplore[[#This Row],[Land-DB]]^2)+1.91*TblExplore[[#This Row],[Land-DB]]-593), 0))*(1+ tech_2_6*Techs!AC133 + tech_2_9*Techs!AF133 + tech_3_7*Techs!AN133 + Overview!$I$33),0)</f>
        <v>-126</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-1793</v>
      </c>
    </row>
    <row r="134" spans="1:36" x14ac:dyDescent="0.2">
      <c r="A134" s="175">
        <f>TblRezone[[#This Row],[Hour]]</f>
        <v>131</v>
      </c>
      <c r="B134" s="214">
        <f ca="1">TblConstr[[#This Row],[Land]]</f>
        <v>110</v>
      </c>
      <c r="C134" s="215"/>
      <c r="D134" s="216">
        <f ca="1">TblConstr[[#This Row],[Plain]]</f>
        <v>60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110</v>
      </c>
      <c r="R134" s="175">
        <f>TblExplore[[#This Row],[Hour]]</f>
        <v>131</v>
      </c>
      <c r="S134" s="218"/>
      <c r="T134" s="179"/>
      <c r="U134" s="179"/>
      <c r="V134" s="179"/>
      <c r="W134" s="179"/>
      <c r="X134" s="179"/>
      <c r="Y134" s="179"/>
      <c r="Z134" s="179"/>
      <c r="AA134" s="159">
        <f ca="1">TblImps[[#This Row],[Real time]]</f>
        <v>46107.166666666351</v>
      </c>
      <c r="AB134" s="94">
        <f ca="1">TblMili[[#This Row],[Draftees]]</f>
        <v>804</v>
      </c>
      <c r="AC134" s="94">
        <f ca="1">TblProd[[#This Row],[Platinum]]</f>
        <v>226651</v>
      </c>
      <c r="AD134" s="215"/>
      <c r="AE134" s="45">
        <f ca="1">TblExplore[[#This Row],[Land]]-TblExplore[[#This Row],[Land Bonus]]*20</f>
        <v>110</v>
      </c>
      <c r="AF134" s="94">
        <f ca="1">ROUND((0.6*TblExplore[[#This Row],[Land-DB]]^1.299 + IF(TblExplore[[#This Row],[Land-DB]]&lt;1520, (-0.001*(TblExplore[[#This Row],[Land-DB]]^2)+1.91*TblExplore[[#This Row],[Land-DB]]-593), 0))*(1+ tech_2_6*Techs!AC134 + tech_2_9*Techs!AF134 + tech_3_7*Techs!AN134 + Overview!$I$33),0)</f>
        <v>-126</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-1799</v>
      </c>
    </row>
    <row r="135" spans="1:36" x14ac:dyDescent="0.2">
      <c r="A135" s="175">
        <f>TblRezone[[#This Row],[Hour]]</f>
        <v>132</v>
      </c>
      <c r="B135" s="214">
        <f ca="1">TblConstr[[#This Row],[Land]]</f>
        <v>110</v>
      </c>
      <c r="C135" s="215"/>
      <c r="D135" s="216">
        <f ca="1">TblConstr[[#This Row],[Plain]]</f>
        <v>60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110</v>
      </c>
      <c r="R135" s="175">
        <f>TblExplore[[#This Row],[Hour]]</f>
        <v>132</v>
      </c>
      <c r="S135" s="218"/>
      <c r="T135" s="179"/>
      <c r="U135" s="179"/>
      <c r="V135" s="179"/>
      <c r="W135" s="179"/>
      <c r="X135" s="179"/>
      <c r="Y135" s="179"/>
      <c r="Z135" s="179"/>
      <c r="AA135" s="159">
        <f ca="1">TblImps[[#This Row],[Real time]]</f>
        <v>46107.208333333016</v>
      </c>
      <c r="AB135" s="94">
        <f ca="1">TblMili[[#This Row],[Draftees]]</f>
        <v>807</v>
      </c>
      <c r="AC135" s="94">
        <f ca="1">TblProd[[#This Row],[Platinum]]</f>
        <v>227385</v>
      </c>
      <c r="AD135" s="215"/>
      <c r="AE135" s="45">
        <f ca="1">TblExplore[[#This Row],[Land]]-TblExplore[[#This Row],[Land Bonus]]*20</f>
        <v>110</v>
      </c>
      <c r="AF135" s="94">
        <f ca="1">ROUND((0.6*TblExplore[[#This Row],[Land-DB]]^1.299 + IF(TblExplore[[#This Row],[Land-DB]]&lt;1520, (-0.001*(TblExplore[[#This Row],[Land-DB]]^2)+1.91*TblExplore[[#This Row],[Land-DB]]-593), 0))*(1+ tech_2_6*Techs!AC135 + tech_2_9*Techs!AF135 + tech_3_7*Techs!AN135 + Overview!$I$33),0)</f>
        <v>-126</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-1805</v>
      </c>
    </row>
    <row r="136" spans="1:36" x14ac:dyDescent="0.2">
      <c r="A136" s="175">
        <f>TblRezone[[#This Row],[Hour]]</f>
        <v>133</v>
      </c>
      <c r="B136" s="214">
        <f ca="1">TblConstr[[#This Row],[Land]]</f>
        <v>110</v>
      </c>
      <c r="C136" s="215"/>
      <c r="D136" s="216">
        <f ca="1">TblConstr[[#This Row],[Plain]]</f>
        <v>60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110</v>
      </c>
      <c r="R136" s="175">
        <f>TblExplore[[#This Row],[Hour]]</f>
        <v>133</v>
      </c>
      <c r="S136" s="218"/>
      <c r="T136" s="179"/>
      <c r="U136" s="179"/>
      <c r="V136" s="179"/>
      <c r="W136" s="179"/>
      <c r="X136" s="179"/>
      <c r="Y136" s="179"/>
      <c r="Z136" s="179"/>
      <c r="AA136" s="159">
        <f ca="1">TblImps[[#This Row],[Real time]]</f>
        <v>46107.24999999968</v>
      </c>
      <c r="AB136" s="94">
        <f ca="1">TblMili[[#This Row],[Draftees]]</f>
        <v>810</v>
      </c>
      <c r="AC136" s="94">
        <f ca="1">TblProd[[#This Row],[Platinum]]</f>
        <v>228111</v>
      </c>
      <c r="AD136" s="215"/>
      <c r="AE136" s="45">
        <f ca="1">TblExplore[[#This Row],[Land]]-TblExplore[[#This Row],[Land Bonus]]*20</f>
        <v>110</v>
      </c>
      <c r="AF136" s="94">
        <f ca="1">ROUND((0.6*TblExplore[[#This Row],[Land-DB]]^1.299 + IF(TblExplore[[#This Row],[Land-DB]]&lt;1520, (-0.001*(TblExplore[[#This Row],[Land-DB]]^2)+1.91*TblExplore[[#This Row],[Land-DB]]-593), 0))*(1+ tech_2_6*Techs!AC136 + tech_2_9*Techs!AF136 + tech_3_7*Techs!AN136 + Overview!$I$33),0)</f>
        <v>-126</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-1811</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51" priority="19" stopIfTrue="1">
      <formula>$M26&lt;$M17</formula>
    </cfRule>
    <cfRule type="expression" dxfId="50" priority="20" stopIfTrue="1">
      <formula>$M17&lt;$M26</formula>
    </cfRule>
  </conditionalFormatting>
  <conditionalFormatting sqref="C1270 D1269:AJ1270 A1269:B1270">
    <cfRule type="expression" dxfId="49" priority="17" stopIfTrue="1">
      <formula>$B$1270&gt;144</formula>
    </cfRule>
  </conditionalFormatting>
  <conditionalFormatting sqref="A4:J136 N4:AJ12 N49:AJ136 N41:S48 U41:AJ48 N16:AJ23 N13:V15 X13:AJ15 N27:AJ40 N24:V26 X24:AJ26">
    <cfRule type="expression" dxfId="48" priority="7" stopIfTrue="1">
      <formula>ROW()-3=$B$1270</formula>
    </cfRule>
  </conditionalFormatting>
  <conditionalFormatting sqref="D4:J136">
    <cfRule type="expression" dxfId="47" priority="8" stopIfTrue="1">
      <formula>OR(ROW()-3=$B$1270,D4&lt;0)</formula>
    </cfRule>
  </conditionalFormatting>
  <conditionalFormatting sqref="A1:XFD3">
    <cfRule type="expression" dxfId="46" priority="22" stopIfTrue="1">
      <formula>$B$1270&lt;0</formula>
    </cfRule>
  </conditionalFormatting>
  <conditionalFormatting sqref="A4:AJ12 A41:S48 U41:AJ48 A16:AJ23 A13:V15 X13:AJ15 A27:AJ40 A24:V26 X24:AJ26 A49:AJ136">
    <cfRule type="expression" dxfId="45" priority="9">
      <formula>$A4=37</formula>
    </cfRule>
    <cfRule type="expression" dxfId="44" priority="16">
      <formula>ROUND(($A4-1)/12,0)=INT($A4-1)/12</formula>
    </cfRule>
  </conditionalFormatting>
  <conditionalFormatting sqref="W13:W15">
    <cfRule type="expression" dxfId="43" priority="4" stopIfTrue="1">
      <formula>ROW()-3=$A$1270</formula>
    </cfRule>
    <cfRule type="expression" dxfId="42" priority="5">
      <formula>$A13=37</formula>
    </cfRule>
    <cfRule type="expression" dxfId="41" priority="6">
      <formula>ROUND(($A13-1)/12,0)=INT($A13-1)/12</formula>
    </cfRule>
  </conditionalFormatting>
  <conditionalFormatting sqref="W24:W26">
    <cfRule type="expression" dxfId="40" priority="1" stopIfTrue="1">
      <formula>ROW()-3=$B$1270</formula>
    </cfRule>
  </conditionalFormatting>
  <conditionalFormatting sqref="W24:W26">
    <cfRule type="expression" dxfId="39" priority="2">
      <formula>$A24=37</formula>
    </cfRule>
    <cfRule type="expression" dxfId="38"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46101.75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hidden="1"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46101.791666666664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hidden="1"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46101.833333333328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hidden="1"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46101.874999999993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hidden="1"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46101.916666666657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hidden="1"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46101.958333333321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hidden="1"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46101.999999999985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hidden="1"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46102.04166666665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hidden="1"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46102.083333333314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hidden="1"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46102.124999999978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hidden="1"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46102.166666666642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hidden="1"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46102.208333333307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110</v>
      </c>
      <c r="B16" s="216">
        <f ca="1">TblConstr[[#This Row],[Plain]]</f>
        <v>60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46102.249999999971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166</v>
      </c>
      <c r="Y16" s="94">
        <f ca="1">TblRezone[[#This Row],[Total acres]]*TblRezone[[#This Row],[Plat/acre]]</f>
        <v>0</v>
      </c>
      <c r="Z16" s="215"/>
      <c r="AA16" s="94">
        <f ca="1">(250+0.6*(TblRezone[[#This Row],[Land]]-250))</f>
        <v>166</v>
      </c>
      <c r="AB16" s="215"/>
      <c r="AC16" s="157">
        <f ca="1">TblConstr[[#This Row],[Facs DB]]</f>
        <v>0</v>
      </c>
    </row>
    <row r="17" spans="1:29" hidden="1" x14ac:dyDescent="0.2">
      <c r="A17" s="214">
        <f ca="1">TblConstr[[#This Row],[Land]]</f>
        <v>110</v>
      </c>
      <c r="B17" s="216">
        <f ca="1">TblConstr[[#This Row],[Plain]]</f>
        <v>60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46102.291666666635</v>
      </c>
      <c r="S17" s="94">
        <f>SUMIF(TblRezone[[#This Row],[Plains Rezone]:[Water Rezone]],"&gt;0")</f>
        <v>0</v>
      </c>
      <c r="T17" s="61" t="str">
        <f>IF(SUM(TblRezone[[#This Row],[Plains Rezone]:[Water Rezone]])=0,"Ok","Nope")</f>
        <v>Ok</v>
      </c>
      <c r="U17" s="215"/>
      <c r="V17" s="94">
        <f ca="1">TblProd[[#This Row],[Platinum]]</f>
        <v>68422</v>
      </c>
      <c r="W17" s="215"/>
      <c r="X17" s="94">
        <f ca="1">ROUND( (1-MIN(ROUND(facs_rezone_factor*TblRezone[[#This Row],[Facs]],4),facs_rezone_max) + tech_6_4*TblTech[[#This Row],[6-4]] + tech_10_2*TblTech[[#This Row],[10-2]] - IF(TblMagic[[#This Row],[Active Mechanical Genius]]&gt;0,mech_genius_bonus,0) + race_rezone_cost) * TblRezone[[#This Row],[Plat/acre*]],0)</f>
        <v>166</v>
      </c>
      <c r="Y17" s="94">
        <f ca="1">TblRezone[[#This Row],[Total acres]]*TblRezone[[#This Row],[Plat/acre]]</f>
        <v>0</v>
      </c>
      <c r="Z17" s="215"/>
      <c r="AA17" s="94">
        <f ca="1">(250+0.6*(TblRezone[[#This Row],[Land]]-250))</f>
        <v>166</v>
      </c>
      <c r="AB17" s="215"/>
      <c r="AC17" s="157">
        <f ca="1">TblConstr[[#This Row],[Facs DB]]</f>
        <v>0</v>
      </c>
    </row>
    <row r="18" spans="1:29" hidden="1" x14ac:dyDescent="0.2">
      <c r="A18" s="214">
        <f ca="1">TblConstr[[#This Row],[Land]]</f>
        <v>110</v>
      </c>
      <c r="B18" s="216">
        <f ca="1">TblConstr[[#This Row],[Plain]]</f>
        <v>60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46102.333333333299</v>
      </c>
      <c r="S18" s="94">
        <f>SUMIF(TblRezone[[#This Row],[Plains Rezone]:[Water Rezone]],"&gt;0")</f>
        <v>0</v>
      </c>
      <c r="T18" s="61" t="str">
        <f>IF(SUM(TblRezone[[#This Row],[Plains Rezone]:[Water Rezone]])=0,"Ok","Nope")</f>
        <v>Ok</v>
      </c>
      <c r="U18" s="215"/>
      <c r="V18" s="94">
        <f ca="1">TblProd[[#This Row],[Platinum]]</f>
        <v>69998</v>
      </c>
      <c r="W18" s="215"/>
      <c r="X18" s="94">
        <f ca="1">ROUND( (1-MIN(ROUND(facs_rezone_factor*TblRezone[[#This Row],[Facs]],4),facs_rezone_max) + tech_6_4*TblTech[[#This Row],[6-4]] + tech_10_2*TblTech[[#This Row],[10-2]] - IF(TblMagic[[#This Row],[Active Mechanical Genius]]&gt;0,mech_genius_bonus,0) + race_rezone_cost) * TblRezone[[#This Row],[Plat/acre*]],0)</f>
        <v>166</v>
      </c>
      <c r="Y18" s="94">
        <f ca="1">TblRezone[[#This Row],[Total acres]]*TblRezone[[#This Row],[Plat/acre]]</f>
        <v>0</v>
      </c>
      <c r="Z18" s="215"/>
      <c r="AA18" s="94">
        <f ca="1">(250+0.6*(TblRezone[[#This Row],[Land]]-250))</f>
        <v>166</v>
      </c>
      <c r="AB18" s="215"/>
      <c r="AC18" s="157">
        <f ca="1">TblConstr[[#This Row],[Facs DB]]</f>
        <v>0</v>
      </c>
    </row>
    <row r="19" spans="1:29" hidden="1" x14ac:dyDescent="0.2">
      <c r="A19" s="214">
        <f ca="1">TblConstr[[#This Row],[Land]]</f>
        <v>110</v>
      </c>
      <c r="B19" s="216">
        <f ca="1">TblConstr[[#This Row],[Plain]]</f>
        <v>60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46102.374999999964</v>
      </c>
      <c r="S19" s="94">
        <f>SUMIF(TblRezone[[#This Row],[Plains Rezone]:[Water Rezone]],"&gt;0")</f>
        <v>0</v>
      </c>
      <c r="T19" s="61" t="str">
        <f>IF(SUM(TblRezone[[#This Row],[Plains Rezone]:[Water Rezone]])=0,"Ok","Nope")</f>
        <v>Ok</v>
      </c>
      <c r="U19" s="215"/>
      <c r="V19" s="94">
        <f ca="1">TblProd[[#This Row],[Platinum]]</f>
        <v>71604</v>
      </c>
      <c r="W19" s="215"/>
      <c r="X19" s="94">
        <f ca="1">ROUND( (1-MIN(ROUND(facs_rezone_factor*TblRezone[[#This Row],[Facs]],4),facs_rezone_max) + tech_6_4*TblTech[[#This Row],[6-4]] + tech_10_2*TblTech[[#This Row],[10-2]] - IF(TblMagic[[#This Row],[Active Mechanical Genius]]&gt;0,mech_genius_bonus,0) + race_rezone_cost) * TblRezone[[#This Row],[Plat/acre*]],0)</f>
        <v>166</v>
      </c>
      <c r="Y19" s="94">
        <f ca="1">TblRezone[[#This Row],[Total acres]]*TblRezone[[#This Row],[Plat/acre]]</f>
        <v>0</v>
      </c>
      <c r="Z19" s="215"/>
      <c r="AA19" s="94">
        <f ca="1">(250+0.6*(TblRezone[[#This Row],[Land]]-250))</f>
        <v>166</v>
      </c>
      <c r="AB19" s="215"/>
      <c r="AC19" s="157">
        <f ca="1">TblConstr[[#This Row],[Facs DB]]</f>
        <v>0</v>
      </c>
    </row>
    <row r="20" spans="1:29" hidden="1" x14ac:dyDescent="0.2">
      <c r="A20" s="214">
        <f ca="1">TblConstr[[#This Row],[Land]]</f>
        <v>110</v>
      </c>
      <c r="B20" s="216">
        <f ca="1">TblConstr[[#This Row],[Plain]]</f>
        <v>60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46102.416666666628</v>
      </c>
      <c r="S20" s="94">
        <f>SUMIF(TblRezone[[#This Row],[Plains Rezone]:[Water Rezone]],"&gt;0")</f>
        <v>0</v>
      </c>
      <c r="T20" s="61" t="str">
        <f>IF(SUM(TblRezone[[#This Row],[Plains Rezone]:[Water Rezone]])=0,"Ok","Nope")</f>
        <v>Ok</v>
      </c>
      <c r="U20" s="215"/>
      <c r="V20" s="94">
        <f ca="1">TblProd[[#This Row],[Platinum]]</f>
        <v>73242</v>
      </c>
      <c r="W20" s="215"/>
      <c r="X20" s="94">
        <f ca="1">ROUND( (1-MIN(ROUND(facs_rezone_factor*TblRezone[[#This Row],[Facs]],4),facs_rezone_max) + tech_6_4*TblTech[[#This Row],[6-4]] + tech_10_2*TblTech[[#This Row],[10-2]] - IF(TblMagic[[#This Row],[Active Mechanical Genius]]&gt;0,mech_genius_bonus,0) + race_rezone_cost) * TblRezone[[#This Row],[Plat/acre*]],0)</f>
        <v>166</v>
      </c>
      <c r="Y20" s="94">
        <f ca="1">TblRezone[[#This Row],[Total acres]]*TblRezone[[#This Row],[Plat/acre]]</f>
        <v>0</v>
      </c>
      <c r="Z20" s="215"/>
      <c r="AA20" s="94">
        <f ca="1">(250+0.6*(TblRezone[[#This Row],[Land]]-250))</f>
        <v>166</v>
      </c>
      <c r="AB20" s="215"/>
      <c r="AC20" s="157">
        <f ca="1">TblConstr[[#This Row],[Facs DB]]</f>
        <v>0</v>
      </c>
    </row>
    <row r="21" spans="1:29" hidden="1" x14ac:dyDescent="0.2">
      <c r="A21" s="214">
        <f ca="1">TblConstr[[#This Row],[Land]]</f>
        <v>110</v>
      </c>
      <c r="B21" s="216">
        <f ca="1">TblConstr[[#This Row],[Plain]]</f>
        <v>60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46102.458333333292</v>
      </c>
      <c r="S21" s="94">
        <f>SUMIF(TblRezone[[#This Row],[Plains Rezone]:[Water Rezone]],"&gt;0")</f>
        <v>0</v>
      </c>
      <c r="T21" s="61" t="str">
        <f>IF(SUM(TblRezone[[#This Row],[Plains Rezone]:[Water Rezone]])=0,"Ok","Nope")</f>
        <v>Ok</v>
      </c>
      <c r="U21" s="215"/>
      <c r="V21" s="94">
        <f ca="1">TblProd[[#This Row],[Platinum]]</f>
        <v>74913</v>
      </c>
      <c r="W21" s="215"/>
      <c r="X21" s="94">
        <f ca="1">ROUND( (1-MIN(ROUND(facs_rezone_factor*TblRezone[[#This Row],[Facs]],4),facs_rezone_max) + tech_6_4*TblTech[[#This Row],[6-4]] + tech_10_2*TblTech[[#This Row],[10-2]] - IF(TblMagic[[#This Row],[Active Mechanical Genius]]&gt;0,mech_genius_bonus,0) + race_rezone_cost) * TblRezone[[#This Row],[Plat/acre*]],0)</f>
        <v>166</v>
      </c>
      <c r="Y21" s="94">
        <f ca="1">TblRezone[[#This Row],[Total acres]]*TblRezone[[#This Row],[Plat/acre]]</f>
        <v>0</v>
      </c>
      <c r="Z21" s="215"/>
      <c r="AA21" s="94">
        <f ca="1">(250+0.6*(TblRezone[[#This Row],[Land]]-250))</f>
        <v>166</v>
      </c>
      <c r="AB21" s="215"/>
      <c r="AC21" s="157">
        <f ca="1">TblConstr[[#This Row],[Facs DB]]</f>
        <v>0</v>
      </c>
    </row>
    <row r="22" spans="1:29" hidden="1" x14ac:dyDescent="0.2">
      <c r="A22" s="214">
        <f ca="1">TblConstr[[#This Row],[Land]]</f>
        <v>110</v>
      </c>
      <c r="B22" s="216">
        <f ca="1">TblConstr[[#This Row],[Plain]]</f>
        <v>60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46102.499999999956</v>
      </c>
      <c r="S22" s="94">
        <f>SUMIF(TblRezone[[#This Row],[Plains Rezone]:[Water Rezone]],"&gt;0")</f>
        <v>0</v>
      </c>
      <c r="T22" s="61" t="str">
        <f>IF(SUM(TblRezone[[#This Row],[Plains Rezone]:[Water Rezone]])=0,"Ok","Nope")</f>
        <v>Ok</v>
      </c>
      <c r="U22" s="215"/>
      <c r="V22" s="94">
        <f ca="1">TblProd[[#This Row],[Platinum]]</f>
        <v>76616</v>
      </c>
      <c r="W22" s="215"/>
      <c r="X22" s="94">
        <f ca="1">ROUND( (1-MIN(ROUND(facs_rezone_factor*TblRezone[[#This Row],[Facs]],4),facs_rezone_max) + tech_6_4*TblTech[[#This Row],[6-4]] + tech_10_2*TblTech[[#This Row],[10-2]] - IF(TblMagic[[#This Row],[Active Mechanical Genius]]&gt;0,mech_genius_bonus,0) + race_rezone_cost) * TblRezone[[#This Row],[Plat/acre*]],0)</f>
        <v>166</v>
      </c>
      <c r="Y22" s="94">
        <f ca="1">TblRezone[[#This Row],[Total acres]]*TblRezone[[#This Row],[Plat/acre]]</f>
        <v>0</v>
      </c>
      <c r="Z22" s="215"/>
      <c r="AA22" s="94">
        <f ca="1">(250+0.6*(TblRezone[[#This Row],[Land]]-250))</f>
        <v>166</v>
      </c>
      <c r="AB22" s="215"/>
      <c r="AC22" s="157">
        <f ca="1">TblConstr[[#This Row],[Facs DB]]</f>
        <v>0</v>
      </c>
    </row>
    <row r="23" spans="1:29" hidden="1" x14ac:dyDescent="0.2">
      <c r="A23" s="214">
        <f ca="1">TblConstr[[#This Row],[Land]]</f>
        <v>110</v>
      </c>
      <c r="B23" s="216">
        <f ca="1">TblConstr[[#This Row],[Plain]]</f>
        <v>60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46102.541666666621</v>
      </c>
      <c r="S23" s="94">
        <f>SUMIF(TblRezone[[#This Row],[Plains Rezone]:[Water Rezone]],"&gt;0")</f>
        <v>0</v>
      </c>
      <c r="T23" s="61" t="str">
        <f>IF(SUM(TblRezone[[#This Row],[Plains Rezone]:[Water Rezone]])=0,"Ok","Nope")</f>
        <v>Ok</v>
      </c>
      <c r="U23" s="215"/>
      <c r="V23" s="94">
        <f ca="1">TblProd[[#This Row],[Platinum]]</f>
        <v>78354</v>
      </c>
      <c r="W23" s="215"/>
      <c r="X23" s="94">
        <f ca="1">ROUND( (1-MIN(ROUND(facs_rezone_factor*TblRezone[[#This Row],[Facs]],4),facs_rezone_max) + tech_6_4*TblTech[[#This Row],[6-4]] + tech_10_2*TblTech[[#This Row],[10-2]] - IF(TblMagic[[#This Row],[Active Mechanical Genius]]&gt;0,mech_genius_bonus,0) + race_rezone_cost) * TblRezone[[#This Row],[Plat/acre*]],0)</f>
        <v>166</v>
      </c>
      <c r="Y23" s="94">
        <f ca="1">TblRezone[[#This Row],[Total acres]]*TblRezone[[#This Row],[Plat/acre]]</f>
        <v>0</v>
      </c>
      <c r="Z23" s="215"/>
      <c r="AA23" s="94">
        <f ca="1">(250+0.6*(TblRezone[[#This Row],[Land]]-250))</f>
        <v>166</v>
      </c>
      <c r="AB23" s="215"/>
      <c r="AC23" s="157">
        <f ca="1">TblConstr[[#This Row],[Facs DB]]</f>
        <v>0</v>
      </c>
    </row>
    <row r="24" spans="1:29" hidden="1" x14ac:dyDescent="0.2">
      <c r="A24" s="214">
        <f ca="1">TblConstr[[#This Row],[Land]]</f>
        <v>110</v>
      </c>
      <c r="B24" s="216">
        <f ca="1">TblConstr[[#This Row],[Plain]]</f>
        <v>60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46102.583333333285</v>
      </c>
      <c r="S24" s="94">
        <f>SUMIF(TblRezone[[#This Row],[Plains Rezone]:[Water Rezone]],"&gt;0")</f>
        <v>0</v>
      </c>
      <c r="T24" s="61" t="str">
        <f>IF(SUM(TblRezone[[#This Row],[Plains Rezone]:[Water Rezone]])=0,"Ok","Nope")</f>
        <v>Ok</v>
      </c>
      <c r="U24" s="215"/>
      <c r="V24" s="94">
        <f ca="1">TblProd[[#This Row],[Platinum]]</f>
        <v>80127</v>
      </c>
      <c r="W24" s="215"/>
      <c r="X24" s="94">
        <f ca="1">ROUND( (1-MIN(ROUND(facs_rezone_factor*TblRezone[[#This Row],[Facs]],4),facs_rezone_max) + tech_6_4*TblTech[[#This Row],[6-4]] + tech_10_2*TblTech[[#This Row],[10-2]] - IF(TblMagic[[#This Row],[Active Mechanical Genius]]&gt;0,mech_genius_bonus,0) + race_rezone_cost) * TblRezone[[#This Row],[Plat/acre*]],0)</f>
        <v>166</v>
      </c>
      <c r="Y24" s="94">
        <f ca="1">TblRezone[[#This Row],[Total acres]]*TblRezone[[#This Row],[Plat/acre]]</f>
        <v>0</v>
      </c>
      <c r="Z24" s="215"/>
      <c r="AA24" s="94">
        <f ca="1">(250+0.6*(TblRezone[[#This Row],[Land]]-250))</f>
        <v>166</v>
      </c>
      <c r="AB24" s="215"/>
      <c r="AC24" s="157">
        <f ca="1">TblConstr[[#This Row],[Facs DB]]</f>
        <v>0</v>
      </c>
    </row>
    <row r="25" spans="1:29" hidden="1" x14ac:dyDescent="0.2">
      <c r="A25" s="214">
        <f ca="1">TblConstr[[#This Row],[Land]]</f>
        <v>110</v>
      </c>
      <c r="B25" s="216">
        <f ca="1">TblConstr[[#This Row],[Plain]]</f>
        <v>60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46102.624999999949</v>
      </c>
      <c r="S25" s="94">
        <f>SUMIF(TblRezone[[#This Row],[Plains Rezone]:[Water Rezone]],"&gt;0")</f>
        <v>0</v>
      </c>
      <c r="T25" s="61" t="str">
        <f>IF(SUM(TblRezone[[#This Row],[Plains Rezone]:[Water Rezone]])=0,"Ok","Nope")</f>
        <v>Ok</v>
      </c>
      <c r="U25" s="215"/>
      <c r="V25" s="94">
        <f ca="1">TblProd[[#This Row],[Platinum]]</f>
        <v>81936</v>
      </c>
      <c r="W25" s="215"/>
      <c r="X25" s="94">
        <f ca="1">ROUND( (1-MIN(ROUND(facs_rezone_factor*TblRezone[[#This Row],[Facs]],4),facs_rezone_max) + tech_6_4*TblTech[[#This Row],[6-4]] + tech_10_2*TblTech[[#This Row],[10-2]] - IF(TblMagic[[#This Row],[Active Mechanical Genius]]&gt;0,mech_genius_bonus,0) + race_rezone_cost) * TblRezone[[#This Row],[Plat/acre*]],0)</f>
        <v>166</v>
      </c>
      <c r="Y25" s="94">
        <f ca="1">TblRezone[[#This Row],[Total acres]]*TblRezone[[#This Row],[Plat/acre]]</f>
        <v>0</v>
      </c>
      <c r="Z25" s="215"/>
      <c r="AA25" s="94">
        <f ca="1">(250+0.6*(TblRezone[[#This Row],[Land]]-250))</f>
        <v>166</v>
      </c>
      <c r="AB25" s="215"/>
      <c r="AC25" s="157">
        <f ca="1">TblConstr[[#This Row],[Facs DB]]</f>
        <v>0</v>
      </c>
    </row>
    <row r="26" spans="1:29" hidden="1" x14ac:dyDescent="0.2">
      <c r="A26" s="214">
        <f ca="1">TblConstr[[#This Row],[Land]]</f>
        <v>110</v>
      </c>
      <c r="B26" s="216">
        <f ca="1">TblConstr[[#This Row],[Plain]]</f>
        <v>60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46102.666666666613</v>
      </c>
      <c r="S26" s="94">
        <f>SUMIF(TblRezone[[#This Row],[Plains Rezone]:[Water Rezone]],"&gt;0")</f>
        <v>0</v>
      </c>
      <c r="T26" s="61" t="str">
        <f>IF(SUM(TblRezone[[#This Row],[Plains Rezone]:[Water Rezone]])=0,"Ok","Nope")</f>
        <v>Ok</v>
      </c>
      <c r="U26" s="215"/>
      <c r="V26" s="94">
        <f ca="1">TblProd[[#This Row],[Platinum]]</f>
        <v>83780</v>
      </c>
      <c r="W26" s="215"/>
      <c r="X26" s="94">
        <f ca="1">ROUND( (1-MIN(ROUND(facs_rezone_factor*TblRezone[[#This Row],[Facs]],4),facs_rezone_max) + tech_6_4*TblTech[[#This Row],[6-4]] + tech_10_2*TblTech[[#This Row],[10-2]] - IF(TblMagic[[#This Row],[Active Mechanical Genius]]&gt;0,mech_genius_bonus,0) + race_rezone_cost) * TblRezone[[#This Row],[Plat/acre*]],0)</f>
        <v>166</v>
      </c>
      <c r="Y26" s="94">
        <f ca="1">TblRezone[[#This Row],[Total acres]]*TblRezone[[#This Row],[Plat/acre]]</f>
        <v>0</v>
      </c>
      <c r="Z26" s="215"/>
      <c r="AA26" s="94">
        <f ca="1">(250+0.6*(TblRezone[[#This Row],[Land]]-250))</f>
        <v>166</v>
      </c>
      <c r="AB26" s="215"/>
      <c r="AC26" s="157">
        <f ca="1">TblConstr[[#This Row],[Facs DB]]</f>
        <v>0</v>
      </c>
    </row>
    <row r="27" spans="1:29" hidden="1" x14ac:dyDescent="0.2">
      <c r="A27" s="214">
        <f ca="1">TblConstr[[#This Row],[Land]]</f>
        <v>110</v>
      </c>
      <c r="B27" s="216">
        <f ca="1">TblConstr[[#This Row],[Plain]]</f>
        <v>60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46102.708333333278</v>
      </c>
      <c r="S27" s="94">
        <f>SUMIF(TblRezone[[#This Row],[Plains Rezone]:[Water Rezone]],"&gt;0")</f>
        <v>0</v>
      </c>
      <c r="T27" s="61" t="str">
        <f>IF(SUM(TblRezone[[#This Row],[Plains Rezone]:[Water Rezone]])=0,"Ok","Nope")</f>
        <v>Ok</v>
      </c>
      <c r="U27" s="215"/>
      <c r="V27" s="94">
        <f ca="1">TblProd[[#This Row],[Platinum]]</f>
        <v>85659</v>
      </c>
      <c r="W27" s="215"/>
      <c r="X27" s="94">
        <f ca="1">ROUND( (1-MIN(ROUND(facs_rezone_factor*TblRezone[[#This Row],[Facs]],4),facs_rezone_max) + tech_6_4*TblTech[[#This Row],[6-4]] + tech_10_2*TblTech[[#This Row],[10-2]] - IF(TblMagic[[#This Row],[Active Mechanical Genius]]&gt;0,mech_genius_bonus,0) + race_rezone_cost) * TblRezone[[#This Row],[Plat/acre*]],0)</f>
        <v>166</v>
      </c>
      <c r="Y27" s="94">
        <f ca="1">TblRezone[[#This Row],[Total acres]]*TblRezone[[#This Row],[Plat/acre]]</f>
        <v>0</v>
      </c>
      <c r="Z27" s="215"/>
      <c r="AA27" s="94">
        <f ca="1">(250+0.6*(TblRezone[[#This Row],[Land]]-250))</f>
        <v>166</v>
      </c>
      <c r="AB27" s="215"/>
      <c r="AC27" s="157">
        <f ca="1">TblConstr[[#This Row],[Facs DB]]</f>
        <v>0</v>
      </c>
    </row>
    <row r="28" spans="1:29" x14ac:dyDescent="0.2">
      <c r="A28" s="214">
        <f ca="1">TblConstr[[#This Row],[Land]]</f>
        <v>110</v>
      </c>
      <c r="B28" s="216">
        <f ca="1">TblConstr[[#This Row],[Plain]]</f>
        <v>60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46102.749999999942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87576</v>
      </c>
      <c r="W28" s="215"/>
      <c r="X28" s="94">
        <f ca="1">ROUND( (1-MIN(ROUND(facs_rezone_factor*TblRezone[[#This Row],[Facs]],4),facs_rezone_max) + tech_6_4*TblTech[[#This Row],[6-4]] + tech_10_2*TblTech[[#This Row],[10-2]] - IF(TblMagic[[#This Row],[Active Mechanical Genius]]&gt;0,mech_genius_bonus,0) + race_rezone_cost) * TblRezone[[#This Row],[Plat/acre*]],0)</f>
        <v>166</v>
      </c>
      <c r="Y28" s="94">
        <f ca="1">TblRezone[[#This Row],[Total acres]]*TblRezone[[#This Row],[Plat/acre]]</f>
        <v>0</v>
      </c>
      <c r="Z28" s="215"/>
      <c r="AA28" s="94">
        <f ca="1">(250+0.6*(TblRezone[[#This Row],[Land]]-250))</f>
        <v>166</v>
      </c>
      <c r="AB28" s="215"/>
      <c r="AC28" s="157">
        <f ca="1">TblConstr[[#This Row],[Facs DB]]</f>
        <v>0</v>
      </c>
    </row>
    <row r="29" spans="1:29" x14ac:dyDescent="0.2">
      <c r="A29" s="214">
        <f ca="1">TblConstr[[#This Row],[Land]]</f>
        <v>110</v>
      </c>
      <c r="B29" s="216">
        <f ca="1">TblConstr[[#This Row],[Plain]]</f>
        <v>60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46102.791666666606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89530</v>
      </c>
      <c r="W29" s="215"/>
      <c r="X29" s="94">
        <f ca="1">ROUND( (1-MIN(ROUND(facs_rezone_factor*TblRezone[[#This Row],[Facs]],4),facs_rezone_max) + tech_6_4*TblTech[[#This Row],[6-4]] + tech_10_2*TblTech[[#This Row],[10-2]] - IF(TblMagic[[#This Row],[Active Mechanical Genius]]&gt;0,mech_genius_bonus,0) + race_rezone_cost) * TblRezone[[#This Row],[Plat/acre*]],0)</f>
        <v>166</v>
      </c>
      <c r="Y29" s="94">
        <f ca="1">TblRezone[[#This Row],[Total acres]]*TblRezone[[#This Row],[Plat/acre]]</f>
        <v>0</v>
      </c>
      <c r="Z29" s="215"/>
      <c r="AA29" s="94">
        <f ca="1">(250+0.6*(TblRezone[[#This Row],[Land]]-250))</f>
        <v>166</v>
      </c>
      <c r="AB29" s="215"/>
      <c r="AC29" s="157">
        <f ca="1">TblConstr[[#This Row],[Facs DB]]</f>
        <v>0</v>
      </c>
    </row>
    <row r="30" spans="1:29" x14ac:dyDescent="0.2">
      <c r="A30" s="214">
        <f ca="1">TblConstr[[#This Row],[Land]]</f>
        <v>110</v>
      </c>
      <c r="B30" s="216">
        <f ca="1">TblConstr[[#This Row],[Plain]]</f>
        <v>60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46102.83333333327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91525</v>
      </c>
      <c r="W30" s="215"/>
      <c r="X30" s="94">
        <f ca="1">ROUND( (1-MIN(ROUND(facs_rezone_factor*TblRezone[[#This Row],[Facs]],4),facs_rezone_max) + tech_6_4*TblTech[[#This Row],[6-4]] + tech_10_2*TblTech[[#This Row],[10-2]] - IF(TblMagic[[#This Row],[Active Mechanical Genius]]&gt;0,mech_genius_bonus,0) + race_rezone_cost) * TblRezone[[#This Row],[Plat/acre*]],0)</f>
        <v>166</v>
      </c>
      <c r="Y30" s="94">
        <f ca="1">TblRezone[[#This Row],[Total acres]]*TblRezone[[#This Row],[Plat/acre]]</f>
        <v>0</v>
      </c>
      <c r="Z30" s="215"/>
      <c r="AA30" s="94">
        <f ca="1">(250+0.6*(TblRezone[[#This Row],[Land]]-250))</f>
        <v>166</v>
      </c>
      <c r="AB30" s="215"/>
      <c r="AC30" s="157">
        <f ca="1">TblConstr[[#This Row],[Facs DB]]</f>
        <v>0</v>
      </c>
    </row>
    <row r="31" spans="1:29" x14ac:dyDescent="0.2">
      <c r="A31" s="214">
        <f ca="1">TblConstr[[#This Row],[Land]]</f>
        <v>110</v>
      </c>
      <c r="B31" s="216">
        <f ca="1">TblConstr[[#This Row],[Plain]]</f>
        <v>60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46102.874999999935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93560</v>
      </c>
      <c r="W31" s="215"/>
      <c r="X31" s="94">
        <f ca="1">ROUND( (1-MIN(ROUND(facs_rezone_factor*TblRezone[[#This Row],[Facs]],4),facs_rezone_max) + tech_6_4*TblTech[[#This Row],[6-4]] + tech_10_2*TblTech[[#This Row],[10-2]] - IF(TblMagic[[#This Row],[Active Mechanical Genius]]&gt;0,mech_genius_bonus,0) + race_rezone_cost) * TblRezone[[#This Row],[Plat/acre*]],0)</f>
        <v>166</v>
      </c>
      <c r="Y31" s="94">
        <f ca="1">TblRezone[[#This Row],[Total acres]]*TblRezone[[#This Row],[Plat/acre]]</f>
        <v>0</v>
      </c>
      <c r="Z31" s="215"/>
      <c r="AA31" s="94">
        <f ca="1">(250+0.6*(TblRezone[[#This Row],[Land]]-250))</f>
        <v>166</v>
      </c>
      <c r="AB31" s="215"/>
      <c r="AC31" s="157">
        <f ca="1">TblConstr[[#This Row],[Facs DB]]</f>
        <v>0</v>
      </c>
    </row>
    <row r="32" spans="1:29" x14ac:dyDescent="0.2">
      <c r="A32" s="214">
        <f ca="1">TblConstr[[#This Row],[Land]]</f>
        <v>110</v>
      </c>
      <c r="B32" s="216">
        <f ca="1">TblConstr[[#This Row],[Plain]]</f>
        <v>60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46102.916666666599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95622</v>
      </c>
      <c r="W32" s="215"/>
      <c r="X32" s="94">
        <f ca="1">ROUND( (1-MIN(ROUND(facs_rezone_factor*TblRezone[[#This Row],[Facs]],4),facs_rezone_max) + tech_6_4*TblTech[[#This Row],[6-4]] + tech_10_2*TblTech[[#This Row],[10-2]] - IF(TblMagic[[#This Row],[Active Mechanical Genius]]&gt;0,mech_genius_bonus,0) + race_rezone_cost) * TblRezone[[#This Row],[Plat/acre*]],0)</f>
        <v>166</v>
      </c>
      <c r="Y32" s="94">
        <f ca="1">TblRezone[[#This Row],[Total acres]]*TblRezone[[#This Row],[Plat/acre]]</f>
        <v>0</v>
      </c>
      <c r="Z32" s="215"/>
      <c r="AA32" s="94">
        <f ca="1">(250+0.6*(TblRezone[[#This Row],[Land]]-250))</f>
        <v>166</v>
      </c>
      <c r="AB32" s="215"/>
      <c r="AC32" s="157">
        <f ca="1">TblConstr[[#This Row],[Facs DB]]</f>
        <v>0</v>
      </c>
    </row>
    <row r="33" spans="1:29" x14ac:dyDescent="0.2">
      <c r="A33" s="214">
        <f ca="1">TblConstr[[#This Row],[Land]]</f>
        <v>110</v>
      </c>
      <c r="B33" s="216">
        <f ca="1">TblConstr[[#This Row],[Plain]]</f>
        <v>60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46102.958333333263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97663</v>
      </c>
      <c r="W33" s="215"/>
      <c r="X33" s="94">
        <f ca="1">ROUND( (1-MIN(ROUND(facs_rezone_factor*TblRezone[[#This Row],[Facs]],4),facs_rezone_max) + tech_6_4*TblTech[[#This Row],[6-4]] + tech_10_2*TblTech[[#This Row],[10-2]] - IF(TblMagic[[#This Row],[Active Mechanical Genius]]&gt;0,mech_genius_bonus,0) + race_rezone_cost) * TblRezone[[#This Row],[Plat/acre*]],0)</f>
        <v>166</v>
      </c>
      <c r="Y33" s="94">
        <f ca="1">TblRezone[[#This Row],[Total acres]]*TblRezone[[#This Row],[Plat/acre]]</f>
        <v>0</v>
      </c>
      <c r="Z33" s="215"/>
      <c r="AA33" s="94">
        <f ca="1">(250+0.6*(TblRezone[[#This Row],[Land]]-250))</f>
        <v>166</v>
      </c>
      <c r="AB33" s="215"/>
      <c r="AC33" s="157">
        <f ca="1">TblConstr[[#This Row],[Facs DB]]</f>
        <v>0</v>
      </c>
    </row>
    <row r="34" spans="1:29" x14ac:dyDescent="0.2">
      <c r="A34" s="214">
        <f ca="1">TblConstr[[#This Row],[Land]]</f>
        <v>110</v>
      </c>
      <c r="B34" s="216">
        <f ca="1">TblConstr[[#This Row],[Plain]]</f>
        <v>60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46102.999999999927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99682</v>
      </c>
      <c r="W34" s="215"/>
      <c r="X34" s="94">
        <f ca="1">ROUND( (1-MIN(ROUND(facs_rezone_factor*TblRezone[[#This Row],[Facs]],4),facs_rezone_max) + tech_6_4*TblTech[[#This Row],[6-4]] + tech_10_2*TblTech[[#This Row],[10-2]] - IF(TblMagic[[#This Row],[Active Mechanical Genius]]&gt;0,mech_genius_bonus,0) + race_rezone_cost) * TblRezone[[#This Row],[Plat/acre*]],0)</f>
        <v>166</v>
      </c>
      <c r="Y34" s="94">
        <f ca="1">TblRezone[[#This Row],[Total acres]]*TblRezone[[#This Row],[Plat/acre]]</f>
        <v>0</v>
      </c>
      <c r="Z34" s="215"/>
      <c r="AA34" s="94">
        <f ca="1">(250+0.6*(TblRezone[[#This Row],[Land]]-250))</f>
        <v>166</v>
      </c>
      <c r="AB34" s="215"/>
      <c r="AC34" s="157">
        <f ca="1">TblConstr[[#This Row],[Facs DB]]</f>
        <v>0</v>
      </c>
    </row>
    <row r="35" spans="1:29" x14ac:dyDescent="0.2">
      <c r="A35" s="214">
        <f ca="1">TblConstr[[#This Row],[Land]]</f>
        <v>110</v>
      </c>
      <c r="B35" s="216">
        <f ca="1">TblConstr[[#This Row],[Plain]]</f>
        <v>60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46103.041666666591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101682</v>
      </c>
      <c r="W35" s="215"/>
      <c r="X35" s="94">
        <f ca="1">ROUND( (1-MIN(ROUND(facs_rezone_factor*TblRezone[[#This Row],[Facs]],4),facs_rezone_max) + tech_6_4*TblTech[[#This Row],[6-4]] + tech_10_2*TblTech[[#This Row],[10-2]] - IF(TblMagic[[#This Row],[Active Mechanical Genius]]&gt;0,mech_genius_bonus,0) + race_rezone_cost) * TblRezone[[#This Row],[Plat/acre*]],0)</f>
        <v>166</v>
      </c>
      <c r="Y35" s="94">
        <f ca="1">TblRezone[[#This Row],[Total acres]]*TblRezone[[#This Row],[Plat/acre]]</f>
        <v>0</v>
      </c>
      <c r="Z35" s="215"/>
      <c r="AA35" s="94">
        <f ca="1">(250+0.6*(TblRezone[[#This Row],[Land]]-250))</f>
        <v>166</v>
      </c>
      <c r="AB35" s="215"/>
      <c r="AC35" s="157">
        <f ca="1">TblConstr[[#This Row],[Facs DB]]</f>
        <v>0</v>
      </c>
    </row>
    <row r="36" spans="1:29" x14ac:dyDescent="0.2">
      <c r="A36" s="214">
        <f ca="1">TblConstr[[#This Row],[Land]]</f>
        <v>110</v>
      </c>
      <c r="B36" s="216">
        <f ca="1">TblConstr[[#This Row],[Plain]]</f>
        <v>60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46103.083333333256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103663</v>
      </c>
      <c r="W36" s="215"/>
      <c r="X36" s="94">
        <f ca="1">ROUND( (1-MIN(ROUND(facs_rezone_factor*TblRezone[[#This Row],[Facs]],4),facs_rezone_max) + tech_6_4*TblTech[[#This Row],[6-4]] + tech_10_2*TblTech[[#This Row],[10-2]] - IF(TblMagic[[#This Row],[Active Mechanical Genius]]&gt;0,mech_genius_bonus,0) + race_rezone_cost) * TblRezone[[#This Row],[Plat/acre*]],0)</f>
        <v>166</v>
      </c>
      <c r="Y36" s="94">
        <f ca="1">TblRezone[[#This Row],[Total acres]]*TblRezone[[#This Row],[Plat/acre]]</f>
        <v>0</v>
      </c>
      <c r="Z36" s="215"/>
      <c r="AA36" s="94">
        <f ca="1">(250+0.6*(TblRezone[[#This Row],[Land]]-250))</f>
        <v>166</v>
      </c>
      <c r="AB36" s="215"/>
      <c r="AC36" s="157">
        <f ca="1">TblConstr[[#This Row],[Facs DB]]</f>
        <v>0</v>
      </c>
    </row>
    <row r="37" spans="1:29" x14ac:dyDescent="0.2">
      <c r="A37" s="214">
        <f ca="1">TblConstr[[#This Row],[Land]]</f>
        <v>110</v>
      </c>
      <c r="B37" s="216">
        <f ca="1">TblConstr[[#This Row],[Plain]]</f>
        <v>60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46103.12499999992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105625</v>
      </c>
      <c r="W37" s="215"/>
      <c r="X37" s="94">
        <f ca="1">ROUND( (1-MIN(ROUND(facs_rezone_factor*TblRezone[[#This Row],[Facs]],4),facs_rezone_max) + tech_6_4*TblTech[[#This Row],[6-4]] + tech_10_2*TblTech[[#This Row],[10-2]] - IF(TblMagic[[#This Row],[Active Mechanical Genius]]&gt;0,mech_genius_bonus,0) + race_rezone_cost) * TblRezone[[#This Row],[Plat/acre*]],0)</f>
        <v>166</v>
      </c>
      <c r="Y37" s="94">
        <f ca="1">TblRezone[[#This Row],[Total acres]]*TblRezone[[#This Row],[Plat/acre]]</f>
        <v>0</v>
      </c>
      <c r="Z37" s="215"/>
      <c r="AA37" s="94">
        <f ca="1">(250+0.6*(TblRezone[[#This Row],[Land]]-250))</f>
        <v>166</v>
      </c>
      <c r="AB37" s="215"/>
      <c r="AC37" s="157">
        <f ca="1">TblConstr[[#This Row],[Facs DB]]</f>
        <v>0</v>
      </c>
    </row>
    <row r="38" spans="1:29" x14ac:dyDescent="0.2">
      <c r="A38" s="214">
        <f ca="1">TblConstr[[#This Row],[Land]]</f>
        <v>110</v>
      </c>
      <c r="B38" s="216">
        <f ca="1">TblConstr[[#This Row],[Plain]]</f>
        <v>60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46103.166666666584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107569</v>
      </c>
      <c r="W38" s="215"/>
      <c r="X38" s="94">
        <f ca="1">ROUND( (1-MIN(ROUND(facs_rezone_factor*TblRezone[[#This Row],[Facs]],4),facs_rezone_max) + tech_6_4*TblTech[[#This Row],[6-4]] + tech_10_2*TblTech[[#This Row],[10-2]] - IF(TblMagic[[#This Row],[Active Mechanical Genius]]&gt;0,mech_genius_bonus,0) + race_rezone_cost) * TblRezone[[#This Row],[Plat/acre*]],0)</f>
        <v>166</v>
      </c>
      <c r="Y38" s="94">
        <f ca="1">TblRezone[[#This Row],[Total acres]]*TblRezone[[#This Row],[Plat/acre]]</f>
        <v>0</v>
      </c>
      <c r="Z38" s="215"/>
      <c r="AA38" s="94">
        <f ca="1">(250+0.6*(TblRezone[[#This Row],[Land]]-250))</f>
        <v>166</v>
      </c>
      <c r="AB38" s="215"/>
      <c r="AC38" s="157">
        <f ca="1">TblConstr[[#This Row],[Facs DB]]</f>
        <v>0</v>
      </c>
    </row>
    <row r="39" spans="1:29" x14ac:dyDescent="0.2">
      <c r="A39" s="214">
        <f ca="1">TblConstr[[#This Row],[Land]]</f>
        <v>110</v>
      </c>
      <c r="B39" s="216">
        <f ca="1">TblConstr[[#This Row],[Plain]]</f>
        <v>60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46103.208333333248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109494</v>
      </c>
      <c r="W39" s="215"/>
      <c r="X39" s="94">
        <f ca="1">ROUND( (1-MIN(ROUND(facs_rezone_factor*TblRezone[[#This Row],[Facs]],4),facs_rezone_max) + tech_6_4*TblTech[[#This Row],[6-4]] + tech_10_2*TblTech[[#This Row],[10-2]] - IF(TblMagic[[#This Row],[Active Mechanical Genius]]&gt;0,mech_genius_bonus,0) + race_rezone_cost) * TblRezone[[#This Row],[Plat/acre*]],0)</f>
        <v>166</v>
      </c>
      <c r="Y39" s="94">
        <f ca="1">TblRezone[[#This Row],[Total acres]]*TblRezone[[#This Row],[Plat/acre]]</f>
        <v>0</v>
      </c>
      <c r="Z39" s="215"/>
      <c r="AA39" s="94">
        <f ca="1">(250+0.6*(TblRezone[[#This Row],[Land]]-250))</f>
        <v>166</v>
      </c>
      <c r="AB39" s="215"/>
      <c r="AC39" s="157">
        <f ca="1">TblConstr[[#This Row],[Facs DB]]</f>
        <v>0</v>
      </c>
    </row>
    <row r="40" spans="1:29" s="5" customFormat="1" x14ac:dyDescent="0.2">
      <c r="A40" s="230">
        <f ca="1">TblConstr[[#This Row],[Land]]</f>
        <v>110</v>
      </c>
      <c r="B40" s="232">
        <f ca="1">TblConstr[[#This Row],[Plain]]</f>
        <v>60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46103.249999999913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111400</v>
      </c>
      <c r="W40" s="231"/>
      <c r="X40" s="35">
        <f ca="1">ROUND( (1-MIN(ROUND(facs_rezone_factor*TblRezone[[#This Row],[Facs]],4),facs_rezone_max) + tech_6_4*TblTech[[#This Row],[6-4]] + tech_10_2*TblTech[[#This Row],[10-2]] - IF(TblMagic[[#This Row],[Active Mechanical Genius]]&gt;0,mech_genius_bonus,0) + race_rezone_cost) * TblRezone[[#This Row],[Plat/acre*]],0)</f>
        <v>166</v>
      </c>
      <c r="Y40" s="35">
        <f ca="1">TblRezone[[#This Row],[Total acres]]*TblRezone[[#This Row],[Plat/acre]]</f>
        <v>0</v>
      </c>
      <c r="Z40" s="231"/>
      <c r="AA40" s="35">
        <f ca="1">(250+0.6*(TblRezone[[#This Row],[Land]]-250))</f>
        <v>166</v>
      </c>
      <c r="AB40" s="231"/>
      <c r="AC40" s="165">
        <f ca="1">TblConstr[[#This Row],[Facs DB]]</f>
        <v>0</v>
      </c>
    </row>
    <row r="41" spans="1:29" x14ac:dyDescent="0.2">
      <c r="A41" s="214">
        <f ca="1">TblConstr[[#This Row],[Land]]</f>
        <v>110</v>
      </c>
      <c r="B41" s="216">
        <f ca="1">TblConstr[[#This Row],[Plain]]</f>
        <v>60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46103.291666666577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113287</v>
      </c>
      <c r="W41" s="215"/>
      <c r="X41" s="94">
        <f ca="1">ROUND( (1-MIN(ROUND(facs_rezone_factor*TblRezone[[#This Row],[Facs]],4),facs_rezone_max) + tech_6_4*TblTech[[#This Row],[6-4]] + tech_10_2*TblTech[[#This Row],[10-2]] - IF(TblMagic[[#This Row],[Active Mechanical Genius]]&gt;0,mech_genius_bonus,0) + race_rezone_cost) * TblRezone[[#This Row],[Plat/acre*]],0)</f>
        <v>166</v>
      </c>
      <c r="Y41" s="94">
        <f ca="1">TblRezone[[#This Row],[Total acres]]*TblRezone[[#This Row],[Plat/acre]]</f>
        <v>0</v>
      </c>
      <c r="Z41" s="215"/>
      <c r="AA41" s="94">
        <f ca="1">(250+0.6*(TblRezone[[#This Row],[Land]]-250))</f>
        <v>166</v>
      </c>
      <c r="AB41" s="215"/>
      <c r="AC41" s="157">
        <f ca="1">TblConstr[[#This Row],[Facs DB]]</f>
        <v>0</v>
      </c>
    </row>
    <row r="42" spans="1:29" x14ac:dyDescent="0.2">
      <c r="A42" s="214">
        <f ca="1">TblConstr[[#This Row],[Land]]</f>
        <v>110</v>
      </c>
      <c r="B42" s="216">
        <f ca="1">TblConstr[[#This Row],[Plain]]</f>
        <v>60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46103.333333333241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115155</v>
      </c>
      <c r="W42" s="215"/>
      <c r="X42" s="94">
        <f ca="1">ROUND( (1-MIN(ROUND(facs_rezone_factor*TblRezone[[#This Row],[Facs]],4),facs_rezone_max) + tech_6_4*TblTech[[#This Row],[6-4]] + tech_10_2*TblTech[[#This Row],[10-2]] - IF(TblMagic[[#This Row],[Active Mechanical Genius]]&gt;0,mech_genius_bonus,0) + race_rezone_cost) * TblRezone[[#This Row],[Plat/acre*]],0)</f>
        <v>166</v>
      </c>
      <c r="Y42" s="94">
        <f ca="1">TblRezone[[#This Row],[Total acres]]*TblRezone[[#This Row],[Plat/acre]]</f>
        <v>0</v>
      </c>
      <c r="Z42" s="215"/>
      <c r="AA42" s="94">
        <f ca="1">(250+0.6*(TblRezone[[#This Row],[Land]]-250))</f>
        <v>166</v>
      </c>
      <c r="AB42" s="215"/>
      <c r="AC42" s="157">
        <f ca="1">TblConstr[[#This Row],[Facs DB]]</f>
        <v>0</v>
      </c>
    </row>
    <row r="43" spans="1:29" x14ac:dyDescent="0.2">
      <c r="A43" s="214">
        <f ca="1">TblConstr[[#This Row],[Land]]</f>
        <v>110</v>
      </c>
      <c r="B43" s="216">
        <f ca="1">TblConstr[[#This Row],[Plain]]</f>
        <v>60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46103.374999999905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117004</v>
      </c>
      <c r="W43" s="215"/>
      <c r="X43" s="94">
        <f ca="1">ROUND( (1-MIN(ROUND(facs_rezone_factor*TblRezone[[#This Row],[Facs]],4),facs_rezone_max) + tech_6_4*TblTech[[#This Row],[6-4]] + tech_10_2*TblTech[[#This Row],[10-2]] - IF(TblMagic[[#This Row],[Active Mechanical Genius]]&gt;0,mech_genius_bonus,0) + race_rezone_cost) * TblRezone[[#This Row],[Plat/acre*]],0)</f>
        <v>166</v>
      </c>
      <c r="Y43" s="94">
        <f ca="1">TblRezone[[#This Row],[Total acres]]*TblRezone[[#This Row],[Plat/acre]]</f>
        <v>0</v>
      </c>
      <c r="Z43" s="215"/>
      <c r="AA43" s="94">
        <f ca="1">(250+0.6*(TblRezone[[#This Row],[Land]]-250))</f>
        <v>166</v>
      </c>
      <c r="AB43" s="215"/>
      <c r="AC43" s="157">
        <f ca="1">TblConstr[[#This Row],[Facs DB]]</f>
        <v>0</v>
      </c>
    </row>
    <row r="44" spans="1:29" x14ac:dyDescent="0.2">
      <c r="A44" s="214">
        <f ca="1">TblConstr[[#This Row],[Land]]</f>
        <v>110</v>
      </c>
      <c r="B44" s="216">
        <f ca="1">TblConstr[[#This Row],[Plain]]</f>
        <v>60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46103.41666666657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118834</v>
      </c>
      <c r="W44" s="215"/>
      <c r="X44" s="94">
        <f ca="1">ROUND( (1-MIN(ROUND(facs_rezone_factor*TblRezone[[#This Row],[Facs]],4),facs_rezone_max) + tech_6_4*TblTech[[#This Row],[6-4]] + tech_10_2*TblTech[[#This Row],[10-2]] - IF(TblMagic[[#This Row],[Active Mechanical Genius]]&gt;0,mech_genius_bonus,0) + race_rezone_cost) * TblRezone[[#This Row],[Plat/acre*]],0)</f>
        <v>166</v>
      </c>
      <c r="Y44" s="94">
        <f ca="1">TblRezone[[#This Row],[Total acres]]*TblRezone[[#This Row],[Plat/acre]]</f>
        <v>0</v>
      </c>
      <c r="Z44" s="215"/>
      <c r="AA44" s="94">
        <f ca="1">(250+0.6*(TblRezone[[#This Row],[Land]]-250))</f>
        <v>166</v>
      </c>
      <c r="AB44" s="215"/>
      <c r="AC44" s="157">
        <f ca="1">TblConstr[[#This Row],[Facs DB]]</f>
        <v>0</v>
      </c>
    </row>
    <row r="45" spans="1:29" x14ac:dyDescent="0.2">
      <c r="A45" s="214">
        <f ca="1">TblConstr[[#This Row],[Land]]</f>
        <v>110</v>
      </c>
      <c r="B45" s="216">
        <f ca="1">TblConstr[[#This Row],[Plain]]</f>
        <v>60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46103.458333333234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120645</v>
      </c>
      <c r="W45" s="215"/>
      <c r="X45" s="94">
        <f ca="1">ROUND( (1-MIN(ROUND(facs_rezone_factor*TblRezone[[#This Row],[Facs]],4),facs_rezone_max) + tech_6_4*TblTech[[#This Row],[6-4]] + tech_10_2*TblTech[[#This Row],[10-2]] - IF(TblMagic[[#This Row],[Active Mechanical Genius]]&gt;0,mech_genius_bonus,0) + race_rezone_cost) * TblRezone[[#This Row],[Plat/acre*]],0)</f>
        <v>166</v>
      </c>
      <c r="Y45" s="94">
        <f ca="1">TblRezone[[#This Row],[Total acres]]*TblRezone[[#This Row],[Plat/acre]]</f>
        <v>0</v>
      </c>
      <c r="Z45" s="215"/>
      <c r="AA45" s="94">
        <f ca="1">(250+0.6*(TblRezone[[#This Row],[Land]]-250))</f>
        <v>166</v>
      </c>
      <c r="AB45" s="215"/>
      <c r="AC45" s="157">
        <f ca="1">TblConstr[[#This Row],[Facs DB]]</f>
        <v>0</v>
      </c>
    </row>
    <row r="46" spans="1:29" x14ac:dyDescent="0.2">
      <c r="A46" s="214">
        <f ca="1">TblConstr[[#This Row],[Land]]</f>
        <v>110</v>
      </c>
      <c r="B46" s="216">
        <f ca="1">TblConstr[[#This Row],[Plain]]</f>
        <v>60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46103.499999999898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122437</v>
      </c>
      <c r="W46" s="215"/>
      <c r="X46" s="94">
        <f ca="1">ROUND( (1-MIN(ROUND(facs_rezone_factor*TblRezone[[#This Row],[Facs]],4),facs_rezone_max) + tech_6_4*TblTech[[#This Row],[6-4]] + tech_10_2*TblTech[[#This Row],[10-2]] - IF(TblMagic[[#This Row],[Active Mechanical Genius]]&gt;0,mech_genius_bonus,0) + race_rezone_cost) * TblRezone[[#This Row],[Plat/acre*]],0)</f>
        <v>166</v>
      </c>
      <c r="Y46" s="94">
        <f ca="1">TblRezone[[#This Row],[Total acres]]*TblRezone[[#This Row],[Plat/acre]]</f>
        <v>0</v>
      </c>
      <c r="Z46" s="215"/>
      <c r="AA46" s="94">
        <f ca="1">(250+0.6*(TblRezone[[#This Row],[Land]]-250))</f>
        <v>166</v>
      </c>
      <c r="AB46" s="215"/>
      <c r="AC46" s="157">
        <f ca="1">TblConstr[[#This Row],[Facs DB]]</f>
        <v>0</v>
      </c>
    </row>
    <row r="47" spans="1:29" x14ac:dyDescent="0.2">
      <c r="A47" s="214">
        <f ca="1">TblConstr[[#This Row],[Land]]</f>
        <v>110</v>
      </c>
      <c r="B47" s="216">
        <f ca="1">TblConstr[[#This Row],[Plain]]</f>
        <v>60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46103.541666666562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124210</v>
      </c>
      <c r="W47" s="215"/>
      <c r="X47" s="94">
        <f ca="1">ROUND( (1-MIN(ROUND(facs_rezone_factor*TblRezone[[#This Row],[Facs]],4),facs_rezone_max) + tech_6_4*TblTech[[#This Row],[6-4]] + tech_10_2*TblTech[[#This Row],[10-2]] - IF(TblMagic[[#This Row],[Active Mechanical Genius]]&gt;0,mech_genius_bonus,0) + race_rezone_cost) * TblRezone[[#This Row],[Plat/acre*]],0)</f>
        <v>166</v>
      </c>
      <c r="Y47" s="94">
        <f ca="1">TblRezone[[#This Row],[Total acres]]*TblRezone[[#This Row],[Plat/acre]]</f>
        <v>0</v>
      </c>
      <c r="Z47" s="215"/>
      <c r="AA47" s="94">
        <f ca="1">(250+0.6*(TblRezone[[#This Row],[Land]]-250))</f>
        <v>166</v>
      </c>
      <c r="AB47" s="215"/>
      <c r="AC47" s="157">
        <f ca="1">TblConstr[[#This Row],[Facs DB]]</f>
        <v>0</v>
      </c>
    </row>
    <row r="48" spans="1:29" x14ac:dyDescent="0.2">
      <c r="A48" s="214">
        <f ca="1">TblConstr[[#This Row],[Land]]</f>
        <v>110</v>
      </c>
      <c r="B48" s="216">
        <f ca="1">TblConstr[[#This Row],[Plain]]</f>
        <v>60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46103.583333333227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125965</v>
      </c>
      <c r="W48" s="215"/>
      <c r="X48" s="94">
        <f ca="1">ROUND( (1-MIN(ROUND(facs_rezone_factor*TblRezone[[#This Row],[Facs]],4),facs_rezone_max) + tech_6_4*TblTech[[#This Row],[6-4]] + tech_10_2*TblTech[[#This Row],[10-2]] - IF(TblMagic[[#This Row],[Active Mechanical Genius]]&gt;0,mech_genius_bonus,0) + race_rezone_cost) * TblRezone[[#This Row],[Plat/acre*]],0)</f>
        <v>166</v>
      </c>
      <c r="Y48" s="94">
        <f ca="1">TblRezone[[#This Row],[Total acres]]*TblRezone[[#This Row],[Plat/acre]]</f>
        <v>0</v>
      </c>
      <c r="Z48" s="215"/>
      <c r="AA48" s="94">
        <f ca="1">(250+0.6*(TblRezone[[#This Row],[Land]]-250))</f>
        <v>166</v>
      </c>
      <c r="AB48" s="215"/>
      <c r="AC48" s="157">
        <f ca="1">TblConstr[[#This Row],[Facs DB]]</f>
        <v>0</v>
      </c>
    </row>
    <row r="49" spans="1:29" x14ac:dyDescent="0.2">
      <c r="A49" s="214">
        <f ca="1">TblConstr[[#This Row],[Land]]</f>
        <v>110</v>
      </c>
      <c r="B49" s="216">
        <f ca="1">TblConstr[[#This Row],[Plain]]</f>
        <v>60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46103.624999999891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127701</v>
      </c>
      <c r="W49" s="215"/>
      <c r="X49" s="94">
        <f ca="1">ROUND( (1-MIN(ROUND(facs_rezone_factor*TblRezone[[#This Row],[Facs]],4),facs_rezone_max) + tech_6_4*TblTech[[#This Row],[6-4]] + tech_10_2*TblTech[[#This Row],[10-2]] - IF(TblMagic[[#This Row],[Active Mechanical Genius]]&gt;0,mech_genius_bonus,0) + race_rezone_cost) * TblRezone[[#This Row],[Plat/acre*]],0)</f>
        <v>166</v>
      </c>
      <c r="Y49" s="94">
        <f ca="1">TblRezone[[#This Row],[Total acres]]*TblRezone[[#This Row],[Plat/acre]]</f>
        <v>0</v>
      </c>
      <c r="Z49" s="215"/>
      <c r="AA49" s="94">
        <f ca="1">(250+0.6*(TblRezone[[#This Row],[Land]]-250))</f>
        <v>166</v>
      </c>
      <c r="AB49" s="215"/>
      <c r="AC49" s="157">
        <f ca="1">TblConstr[[#This Row],[Facs DB]]</f>
        <v>0</v>
      </c>
    </row>
    <row r="50" spans="1:29" x14ac:dyDescent="0.2">
      <c r="A50" s="214">
        <f ca="1">TblConstr[[#This Row],[Land]]</f>
        <v>110</v>
      </c>
      <c r="B50" s="216">
        <f ca="1">TblConstr[[#This Row],[Plain]]</f>
        <v>60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46103.666666666555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129420</v>
      </c>
      <c r="W50" s="215"/>
      <c r="X50" s="94">
        <f ca="1">ROUND( (1-MIN(ROUND(facs_rezone_factor*TblRezone[[#This Row],[Facs]],4),facs_rezone_max) + tech_6_4*TblTech[[#This Row],[6-4]] + tech_10_2*TblTech[[#This Row],[10-2]] - IF(TblMagic[[#This Row],[Active Mechanical Genius]]&gt;0,mech_genius_bonus,0) + race_rezone_cost) * TblRezone[[#This Row],[Plat/acre*]],0)</f>
        <v>166</v>
      </c>
      <c r="Y50" s="94">
        <f ca="1">TblRezone[[#This Row],[Total acres]]*TblRezone[[#This Row],[Plat/acre]]</f>
        <v>0</v>
      </c>
      <c r="Z50" s="215"/>
      <c r="AA50" s="94">
        <f ca="1">(250+0.6*(TblRezone[[#This Row],[Land]]-250))</f>
        <v>166</v>
      </c>
      <c r="AB50" s="215"/>
      <c r="AC50" s="157">
        <f ca="1">TblConstr[[#This Row],[Facs DB]]</f>
        <v>0</v>
      </c>
    </row>
    <row r="51" spans="1:29" x14ac:dyDescent="0.2">
      <c r="A51" s="214">
        <f ca="1">TblConstr[[#This Row],[Land]]</f>
        <v>110</v>
      </c>
      <c r="B51" s="216">
        <f ca="1">TblConstr[[#This Row],[Plain]]</f>
        <v>60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46103.708333333219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131123</v>
      </c>
      <c r="W51" s="215"/>
      <c r="X51" s="94">
        <f ca="1">ROUND( (1-MIN(ROUND(facs_rezone_factor*TblRezone[[#This Row],[Facs]],4),facs_rezone_max) + tech_6_4*TblTech[[#This Row],[6-4]] + tech_10_2*TblTech[[#This Row],[10-2]] - IF(TblMagic[[#This Row],[Active Mechanical Genius]]&gt;0,mech_genius_bonus,0) + race_rezone_cost) * TblRezone[[#This Row],[Plat/acre*]],0)</f>
        <v>166</v>
      </c>
      <c r="Y51" s="94">
        <f ca="1">TblRezone[[#This Row],[Total acres]]*TblRezone[[#This Row],[Plat/acre]]</f>
        <v>0</v>
      </c>
      <c r="Z51" s="215"/>
      <c r="AA51" s="94">
        <f ca="1">(250+0.6*(TblRezone[[#This Row],[Land]]-250))</f>
        <v>166</v>
      </c>
      <c r="AB51" s="215"/>
      <c r="AC51" s="157">
        <f ca="1">TblConstr[[#This Row],[Facs DB]]</f>
        <v>0</v>
      </c>
    </row>
    <row r="52" spans="1:29" x14ac:dyDescent="0.2">
      <c r="A52" s="214">
        <f ca="1">TblConstr[[#This Row],[Land]]</f>
        <v>110</v>
      </c>
      <c r="B52" s="216">
        <f ca="1">TblConstr[[#This Row],[Plain]]</f>
        <v>60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46103.749999999884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132810</v>
      </c>
      <c r="W52" s="215"/>
      <c r="X52" s="94">
        <f ca="1">ROUND( (1-MIN(ROUND(facs_rezone_factor*TblRezone[[#This Row],[Facs]],4),facs_rezone_max) + tech_6_4*TblTech[[#This Row],[6-4]] + tech_10_2*TblTech[[#This Row],[10-2]] - IF(TblMagic[[#This Row],[Active Mechanical Genius]]&gt;0,mech_genius_bonus,0) + race_rezone_cost) * TblRezone[[#This Row],[Plat/acre*]],0)</f>
        <v>166</v>
      </c>
      <c r="Y52" s="94">
        <f ca="1">TblRezone[[#This Row],[Total acres]]*TblRezone[[#This Row],[Plat/acre]]</f>
        <v>0</v>
      </c>
      <c r="Z52" s="215"/>
      <c r="AA52" s="94">
        <f ca="1">(250+0.6*(TblRezone[[#This Row],[Land]]-250))</f>
        <v>166</v>
      </c>
      <c r="AB52" s="215"/>
      <c r="AC52" s="157">
        <f ca="1">TblConstr[[#This Row],[Facs DB]]</f>
        <v>0</v>
      </c>
    </row>
    <row r="53" spans="1:29" x14ac:dyDescent="0.2">
      <c r="A53" s="214">
        <f ca="1">TblConstr[[#This Row],[Land]]</f>
        <v>110</v>
      </c>
      <c r="B53" s="216">
        <f ca="1">TblConstr[[#This Row],[Plain]]</f>
        <v>60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46103.791666666548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134481</v>
      </c>
      <c r="W53" s="215"/>
      <c r="X53" s="94">
        <f ca="1">ROUND( (1-MIN(ROUND(facs_rezone_factor*TblRezone[[#This Row],[Facs]],4),facs_rezone_max) + tech_6_4*TblTech[[#This Row],[6-4]] + tech_10_2*TblTech[[#This Row],[10-2]] - IF(TblMagic[[#This Row],[Active Mechanical Genius]]&gt;0,mech_genius_bonus,0) + race_rezone_cost) * TblRezone[[#This Row],[Plat/acre*]],0)</f>
        <v>166</v>
      </c>
      <c r="Y53" s="94">
        <f ca="1">TblRezone[[#This Row],[Total acres]]*TblRezone[[#This Row],[Plat/acre]]</f>
        <v>0</v>
      </c>
      <c r="Z53" s="215"/>
      <c r="AA53" s="94">
        <f ca="1">(250+0.6*(TblRezone[[#This Row],[Land]]-250))</f>
        <v>166</v>
      </c>
      <c r="AB53" s="215"/>
      <c r="AC53" s="157">
        <f ca="1">TblConstr[[#This Row],[Facs DB]]</f>
        <v>0</v>
      </c>
    </row>
    <row r="54" spans="1:29" x14ac:dyDescent="0.2">
      <c r="A54" s="214">
        <f ca="1">TblConstr[[#This Row],[Land]]</f>
        <v>110</v>
      </c>
      <c r="B54" s="216">
        <f ca="1">TblConstr[[#This Row],[Plain]]</f>
        <v>60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46103.833333333212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136136</v>
      </c>
      <c r="W54" s="215"/>
      <c r="X54" s="94">
        <f ca="1">ROUND( (1-MIN(ROUND(facs_rezone_factor*TblRezone[[#This Row],[Facs]],4),facs_rezone_max) + tech_6_4*TblTech[[#This Row],[6-4]] + tech_10_2*TblTech[[#This Row],[10-2]] - IF(TblMagic[[#This Row],[Active Mechanical Genius]]&gt;0,mech_genius_bonus,0) + race_rezone_cost) * TblRezone[[#This Row],[Plat/acre*]],0)</f>
        <v>166</v>
      </c>
      <c r="Y54" s="94">
        <f ca="1">TblRezone[[#This Row],[Total acres]]*TblRezone[[#This Row],[Plat/acre]]</f>
        <v>0</v>
      </c>
      <c r="Z54" s="215"/>
      <c r="AA54" s="94">
        <f ca="1">(250+0.6*(TblRezone[[#This Row],[Land]]-250))</f>
        <v>166</v>
      </c>
      <c r="AB54" s="215"/>
      <c r="AC54" s="157">
        <f ca="1">TblConstr[[#This Row],[Facs DB]]</f>
        <v>0</v>
      </c>
    </row>
    <row r="55" spans="1:29" x14ac:dyDescent="0.2">
      <c r="A55" s="214">
        <f ca="1">TblConstr[[#This Row],[Land]]</f>
        <v>110</v>
      </c>
      <c r="B55" s="216">
        <f ca="1">TblConstr[[#This Row],[Plain]]</f>
        <v>60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46103.874999999876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137774</v>
      </c>
      <c r="W55" s="215"/>
      <c r="X55" s="94">
        <f ca="1">ROUND( (1-MIN(ROUND(facs_rezone_factor*TblRezone[[#This Row],[Facs]],4),facs_rezone_max) + tech_6_4*TblTech[[#This Row],[6-4]] + tech_10_2*TblTech[[#This Row],[10-2]] - IF(TblMagic[[#This Row],[Active Mechanical Genius]]&gt;0,mech_genius_bonus,0) + race_rezone_cost) * TblRezone[[#This Row],[Plat/acre*]],0)</f>
        <v>166</v>
      </c>
      <c r="Y55" s="94">
        <f ca="1">TblRezone[[#This Row],[Total acres]]*TblRezone[[#This Row],[Plat/acre]]</f>
        <v>0</v>
      </c>
      <c r="Z55" s="215"/>
      <c r="AA55" s="94">
        <f ca="1">(250+0.6*(TblRezone[[#This Row],[Land]]-250))</f>
        <v>166</v>
      </c>
      <c r="AB55" s="215"/>
      <c r="AC55" s="157">
        <f ca="1">TblConstr[[#This Row],[Facs DB]]</f>
        <v>0</v>
      </c>
    </row>
    <row r="56" spans="1:29" x14ac:dyDescent="0.2">
      <c r="A56" s="214">
        <f ca="1">TblConstr[[#This Row],[Land]]</f>
        <v>110</v>
      </c>
      <c r="B56" s="216">
        <f ca="1">TblConstr[[#This Row],[Plain]]</f>
        <v>60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46103.916666666541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139396</v>
      </c>
      <c r="W56" s="215"/>
      <c r="X56" s="94">
        <f ca="1">ROUND( (1-MIN(ROUND(facs_rezone_factor*TblRezone[[#This Row],[Facs]],4),facs_rezone_max) + tech_6_4*TblTech[[#This Row],[6-4]] + tech_10_2*TblTech[[#This Row],[10-2]] - IF(TblMagic[[#This Row],[Active Mechanical Genius]]&gt;0,mech_genius_bonus,0) + race_rezone_cost) * TblRezone[[#This Row],[Plat/acre*]],0)</f>
        <v>166</v>
      </c>
      <c r="Y56" s="94">
        <f ca="1">TblRezone[[#This Row],[Total acres]]*TblRezone[[#This Row],[Plat/acre]]</f>
        <v>0</v>
      </c>
      <c r="Z56" s="215"/>
      <c r="AA56" s="94">
        <f ca="1">(250+0.6*(TblRezone[[#This Row],[Land]]-250))</f>
        <v>166</v>
      </c>
      <c r="AB56" s="215"/>
      <c r="AC56" s="157">
        <f ca="1">TblConstr[[#This Row],[Facs DB]]</f>
        <v>0</v>
      </c>
    </row>
    <row r="57" spans="1:29" x14ac:dyDescent="0.2">
      <c r="A57" s="214">
        <f ca="1">TblConstr[[#This Row],[Land]]</f>
        <v>110</v>
      </c>
      <c r="B57" s="216">
        <f ca="1">TblConstr[[#This Row],[Plain]]</f>
        <v>60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46103.958333333205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141002</v>
      </c>
      <c r="W57" s="215"/>
      <c r="X57" s="94">
        <f ca="1">ROUND( (1-MIN(ROUND(facs_rezone_factor*TblRezone[[#This Row],[Facs]],4),facs_rezone_max) + tech_6_4*TblTech[[#This Row],[6-4]] + tech_10_2*TblTech[[#This Row],[10-2]] - IF(TblMagic[[#This Row],[Active Mechanical Genius]]&gt;0,mech_genius_bonus,0) + race_rezone_cost) * TblRezone[[#This Row],[Plat/acre*]],0)</f>
        <v>166</v>
      </c>
      <c r="Y57" s="94">
        <f ca="1">TblRezone[[#This Row],[Total acres]]*TblRezone[[#This Row],[Plat/acre]]</f>
        <v>0</v>
      </c>
      <c r="Z57" s="215"/>
      <c r="AA57" s="94">
        <f ca="1">(250+0.6*(TblRezone[[#This Row],[Land]]-250))</f>
        <v>166</v>
      </c>
      <c r="AB57" s="215"/>
      <c r="AC57" s="157">
        <f ca="1">TblConstr[[#This Row],[Facs DB]]</f>
        <v>0</v>
      </c>
    </row>
    <row r="58" spans="1:29" x14ac:dyDescent="0.2">
      <c r="A58" s="214">
        <f ca="1">TblConstr[[#This Row],[Land]]</f>
        <v>110</v>
      </c>
      <c r="B58" s="216">
        <f ca="1">TblConstr[[#This Row],[Plain]]</f>
        <v>60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46103.999999999869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142592</v>
      </c>
      <c r="W58" s="215"/>
      <c r="X58" s="94">
        <f ca="1">ROUND( (1-MIN(ROUND(facs_rezone_factor*TblRezone[[#This Row],[Facs]],4),facs_rezone_max) + tech_6_4*TblTech[[#This Row],[6-4]] + tech_10_2*TblTech[[#This Row],[10-2]] - IF(TblMagic[[#This Row],[Active Mechanical Genius]]&gt;0,mech_genius_bonus,0) + race_rezone_cost) * TblRezone[[#This Row],[Plat/acre*]],0)</f>
        <v>166</v>
      </c>
      <c r="Y58" s="94">
        <f ca="1">TblRezone[[#This Row],[Total acres]]*TblRezone[[#This Row],[Plat/acre]]</f>
        <v>0</v>
      </c>
      <c r="Z58" s="215"/>
      <c r="AA58" s="94">
        <f ca="1">(250+0.6*(TblRezone[[#This Row],[Land]]-250))</f>
        <v>166</v>
      </c>
      <c r="AB58" s="215"/>
      <c r="AC58" s="157">
        <f ca="1">TblConstr[[#This Row],[Facs DB]]</f>
        <v>0</v>
      </c>
    </row>
    <row r="59" spans="1:29" x14ac:dyDescent="0.2">
      <c r="A59" s="214">
        <f ca="1">TblConstr[[#This Row],[Land]]</f>
        <v>110</v>
      </c>
      <c r="B59" s="216">
        <f ca="1">TblConstr[[#This Row],[Plain]]</f>
        <v>60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46104.041666666533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144166</v>
      </c>
      <c r="W59" s="215"/>
      <c r="X59" s="94">
        <f ca="1">ROUND( (1-MIN(ROUND(facs_rezone_factor*TblRezone[[#This Row],[Facs]],4),facs_rezone_max) + tech_6_4*TblTech[[#This Row],[6-4]] + tech_10_2*TblTech[[#This Row],[10-2]] - IF(TblMagic[[#This Row],[Active Mechanical Genius]]&gt;0,mech_genius_bonus,0) + race_rezone_cost) * TblRezone[[#This Row],[Plat/acre*]],0)</f>
        <v>166</v>
      </c>
      <c r="Y59" s="94">
        <f ca="1">TblRezone[[#This Row],[Total acres]]*TblRezone[[#This Row],[Plat/acre]]</f>
        <v>0</v>
      </c>
      <c r="Z59" s="215"/>
      <c r="AA59" s="94">
        <f ca="1">(250+0.6*(TblRezone[[#This Row],[Land]]-250))</f>
        <v>166</v>
      </c>
      <c r="AB59" s="215"/>
      <c r="AC59" s="157">
        <f ca="1">TblConstr[[#This Row],[Facs DB]]</f>
        <v>0</v>
      </c>
    </row>
    <row r="60" spans="1:29" x14ac:dyDescent="0.2">
      <c r="A60" s="214">
        <f ca="1">TblConstr[[#This Row],[Land]]</f>
        <v>110</v>
      </c>
      <c r="B60" s="216">
        <f ca="1">TblConstr[[#This Row],[Plain]]</f>
        <v>60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46104.083333333198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145723</v>
      </c>
      <c r="W60" s="215"/>
      <c r="X60" s="94">
        <f ca="1">ROUND( (1-MIN(ROUND(facs_rezone_factor*TblRezone[[#This Row],[Facs]],4),facs_rezone_max) + tech_6_4*TblTech[[#This Row],[6-4]] + tech_10_2*TblTech[[#This Row],[10-2]] - IF(TblMagic[[#This Row],[Active Mechanical Genius]]&gt;0,mech_genius_bonus,0) + race_rezone_cost) * TblRezone[[#This Row],[Plat/acre*]],0)</f>
        <v>166</v>
      </c>
      <c r="Y60" s="94">
        <f ca="1">TblRezone[[#This Row],[Total acres]]*TblRezone[[#This Row],[Plat/acre]]</f>
        <v>0</v>
      </c>
      <c r="Z60" s="215"/>
      <c r="AA60" s="94">
        <f ca="1">(250+0.6*(TblRezone[[#This Row],[Land]]-250))</f>
        <v>166</v>
      </c>
      <c r="AB60" s="215"/>
      <c r="AC60" s="157">
        <f ca="1">TblConstr[[#This Row],[Facs DB]]</f>
        <v>0</v>
      </c>
    </row>
    <row r="61" spans="1:29" x14ac:dyDescent="0.2">
      <c r="A61" s="214">
        <f ca="1">TblConstr[[#This Row],[Land]]</f>
        <v>110</v>
      </c>
      <c r="B61" s="216">
        <f ca="1">TblConstr[[#This Row],[Plain]]</f>
        <v>60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46104.124999999862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147264</v>
      </c>
      <c r="W61" s="215"/>
      <c r="X61" s="94">
        <f ca="1">ROUND( (1-MIN(ROUND(facs_rezone_factor*TblRezone[[#This Row],[Facs]],4),facs_rezone_max) + tech_6_4*TblTech[[#This Row],[6-4]] + tech_10_2*TblTech[[#This Row],[10-2]] - IF(TblMagic[[#This Row],[Active Mechanical Genius]]&gt;0,mech_genius_bonus,0) + race_rezone_cost) * TblRezone[[#This Row],[Plat/acre*]],0)</f>
        <v>166</v>
      </c>
      <c r="Y61" s="94">
        <f ca="1">TblRezone[[#This Row],[Total acres]]*TblRezone[[#This Row],[Plat/acre]]</f>
        <v>0</v>
      </c>
      <c r="Z61" s="215"/>
      <c r="AA61" s="94">
        <f ca="1">(250+0.6*(TblRezone[[#This Row],[Land]]-250))</f>
        <v>166</v>
      </c>
      <c r="AB61" s="215"/>
      <c r="AC61" s="157">
        <f ca="1">TblConstr[[#This Row],[Facs DB]]</f>
        <v>0</v>
      </c>
    </row>
    <row r="62" spans="1:29" x14ac:dyDescent="0.2">
      <c r="A62" s="214">
        <f ca="1">TblConstr[[#This Row],[Land]]</f>
        <v>110</v>
      </c>
      <c r="B62" s="216">
        <f ca="1">TblConstr[[#This Row],[Plain]]</f>
        <v>60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46104.166666666526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148789</v>
      </c>
      <c r="W62" s="215"/>
      <c r="X62" s="94">
        <f ca="1">ROUND( (1-MIN(ROUND(facs_rezone_factor*TblRezone[[#This Row],[Facs]],4),facs_rezone_max) + tech_6_4*TblTech[[#This Row],[6-4]] + tech_10_2*TblTech[[#This Row],[10-2]] - IF(TblMagic[[#This Row],[Active Mechanical Genius]]&gt;0,mech_genius_bonus,0) + race_rezone_cost) * TblRezone[[#This Row],[Plat/acre*]],0)</f>
        <v>166</v>
      </c>
      <c r="Y62" s="94">
        <f ca="1">TblRezone[[#This Row],[Total acres]]*TblRezone[[#This Row],[Plat/acre]]</f>
        <v>0</v>
      </c>
      <c r="Z62" s="215"/>
      <c r="AA62" s="94">
        <f ca="1">(250+0.6*(TblRezone[[#This Row],[Land]]-250))</f>
        <v>166</v>
      </c>
      <c r="AB62" s="215"/>
      <c r="AC62" s="157">
        <f ca="1">TblConstr[[#This Row],[Facs DB]]</f>
        <v>0</v>
      </c>
    </row>
    <row r="63" spans="1:29" x14ac:dyDescent="0.2">
      <c r="A63" s="214">
        <f ca="1">TblConstr[[#This Row],[Land]]</f>
        <v>110</v>
      </c>
      <c r="B63" s="216">
        <f ca="1">TblConstr[[#This Row],[Plain]]</f>
        <v>60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46104.20833333319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150298</v>
      </c>
      <c r="W63" s="215"/>
      <c r="X63" s="94">
        <f ca="1">ROUND( (1-MIN(ROUND(facs_rezone_factor*TblRezone[[#This Row],[Facs]],4),facs_rezone_max) + tech_6_4*TblTech[[#This Row],[6-4]] + tech_10_2*TblTech[[#This Row],[10-2]] - IF(TblMagic[[#This Row],[Active Mechanical Genius]]&gt;0,mech_genius_bonus,0) + race_rezone_cost) * TblRezone[[#This Row],[Plat/acre*]],0)</f>
        <v>166</v>
      </c>
      <c r="Y63" s="94">
        <f ca="1">TblRezone[[#This Row],[Total acres]]*TblRezone[[#This Row],[Plat/acre]]</f>
        <v>0</v>
      </c>
      <c r="Z63" s="215"/>
      <c r="AA63" s="94">
        <f ca="1">(250+0.6*(TblRezone[[#This Row],[Land]]-250))</f>
        <v>166</v>
      </c>
      <c r="AB63" s="215"/>
      <c r="AC63" s="157">
        <f ca="1">TblConstr[[#This Row],[Facs DB]]</f>
        <v>0</v>
      </c>
    </row>
    <row r="64" spans="1:29" x14ac:dyDescent="0.2">
      <c r="A64" s="214">
        <f ca="1">TblConstr[[#This Row],[Land]]</f>
        <v>110</v>
      </c>
      <c r="B64" s="216">
        <f ca="1">TblConstr[[#This Row],[Plain]]</f>
        <v>60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46104.249999999854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151791</v>
      </c>
      <c r="W64" s="215"/>
      <c r="X64" s="94">
        <f ca="1">ROUND( (1-MIN(ROUND(facs_rezone_factor*TblRezone[[#This Row],[Facs]],4),facs_rezone_max) + tech_6_4*TblTech[[#This Row],[6-4]] + tech_10_2*TblTech[[#This Row],[10-2]] - IF(TblMagic[[#This Row],[Active Mechanical Genius]]&gt;0,mech_genius_bonus,0) + race_rezone_cost) * TblRezone[[#This Row],[Plat/acre*]],0)</f>
        <v>166</v>
      </c>
      <c r="Y64" s="94">
        <f ca="1">TblRezone[[#This Row],[Total acres]]*TblRezone[[#This Row],[Plat/acre]]</f>
        <v>0</v>
      </c>
      <c r="Z64" s="215"/>
      <c r="AA64" s="94">
        <f ca="1">(250+0.6*(TblRezone[[#This Row],[Land]]-250))</f>
        <v>166</v>
      </c>
      <c r="AB64" s="215"/>
      <c r="AC64" s="157">
        <f ca="1">TblConstr[[#This Row],[Facs DB]]</f>
        <v>0</v>
      </c>
    </row>
    <row r="65" spans="1:29" x14ac:dyDescent="0.2">
      <c r="A65" s="214">
        <f ca="1">TblConstr[[#This Row],[Land]]</f>
        <v>110</v>
      </c>
      <c r="B65" s="216">
        <f ca="1">TblConstr[[#This Row],[Plain]]</f>
        <v>60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46104.291666666519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153267</v>
      </c>
      <c r="W65" s="215"/>
      <c r="X65" s="94">
        <f ca="1">ROUND( (1-MIN(ROUND(facs_rezone_factor*TblRezone[[#This Row],[Facs]],4),facs_rezone_max) + tech_6_4*TblTech[[#This Row],[6-4]] + tech_10_2*TblTech[[#This Row],[10-2]] - IF(TblMagic[[#This Row],[Active Mechanical Genius]]&gt;0,mech_genius_bonus,0) + race_rezone_cost) * TblRezone[[#This Row],[Plat/acre*]],0)</f>
        <v>166</v>
      </c>
      <c r="Y65" s="94">
        <f ca="1">TblRezone[[#This Row],[Total acres]]*TblRezone[[#This Row],[Plat/acre]]</f>
        <v>0</v>
      </c>
      <c r="Z65" s="215"/>
      <c r="AA65" s="94">
        <f ca="1">(250+0.6*(TblRezone[[#This Row],[Land]]-250))</f>
        <v>166</v>
      </c>
      <c r="AB65" s="215"/>
      <c r="AC65" s="157">
        <f ca="1">TblConstr[[#This Row],[Facs DB]]</f>
        <v>0</v>
      </c>
    </row>
    <row r="66" spans="1:29" x14ac:dyDescent="0.2">
      <c r="A66" s="214">
        <f ca="1">TblConstr[[#This Row],[Land]]</f>
        <v>110</v>
      </c>
      <c r="B66" s="216">
        <f ca="1">TblConstr[[#This Row],[Plain]]</f>
        <v>60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46104.333333333183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154730</v>
      </c>
      <c r="W66" s="215"/>
      <c r="X66" s="94">
        <f ca="1">ROUND( (1-MIN(ROUND(facs_rezone_factor*TblRezone[[#This Row],[Facs]],4),facs_rezone_max) + tech_6_4*TblTech[[#This Row],[6-4]] + tech_10_2*TblTech[[#This Row],[10-2]] - IF(TblMagic[[#This Row],[Active Mechanical Genius]]&gt;0,mech_genius_bonus,0) + race_rezone_cost) * TblRezone[[#This Row],[Plat/acre*]],0)</f>
        <v>166</v>
      </c>
      <c r="Y66" s="94">
        <f ca="1">TblRezone[[#This Row],[Total acres]]*TblRezone[[#This Row],[Plat/acre]]</f>
        <v>0</v>
      </c>
      <c r="Z66" s="215"/>
      <c r="AA66" s="94">
        <f ca="1">(250+0.6*(TblRezone[[#This Row],[Land]]-250))</f>
        <v>166</v>
      </c>
      <c r="AB66" s="215"/>
      <c r="AC66" s="157">
        <f ca="1">TblConstr[[#This Row],[Facs DB]]</f>
        <v>0</v>
      </c>
    </row>
    <row r="67" spans="1:29" x14ac:dyDescent="0.2">
      <c r="A67" s="214">
        <f ca="1">TblConstr[[#This Row],[Land]]</f>
        <v>110</v>
      </c>
      <c r="B67" s="216">
        <f ca="1">TblConstr[[#This Row],[Plain]]</f>
        <v>60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46104.374999999847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156179</v>
      </c>
      <c r="W67" s="215"/>
      <c r="X67" s="94">
        <f ca="1">ROUND( (1-MIN(ROUND(facs_rezone_factor*TblRezone[[#This Row],[Facs]],4),facs_rezone_max) + tech_6_4*TblTech[[#This Row],[6-4]] + tech_10_2*TblTech[[#This Row],[10-2]] - IF(TblMagic[[#This Row],[Active Mechanical Genius]]&gt;0,mech_genius_bonus,0) + race_rezone_cost) * TblRezone[[#This Row],[Plat/acre*]],0)</f>
        <v>166</v>
      </c>
      <c r="Y67" s="94">
        <f ca="1">TblRezone[[#This Row],[Total acres]]*TblRezone[[#This Row],[Plat/acre]]</f>
        <v>0</v>
      </c>
      <c r="Z67" s="215"/>
      <c r="AA67" s="94">
        <f ca="1">(250+0.6*(TblRezone[[#This Row],[Land]]-250))</f>
        <v>166</v>
      </c>
      <c r="AB67" s="215"/>
      <c r="AC67" s="157">
        <f ca="1">TblConstr[[#This Row],[Facs DB]]</f>
        <v>0</v>
      </c>
    </row>
    <row r="68" spans="1:29" x14ac:dyDescent="0.2">
      <c r="A68" s="214">
        <f ca="1">TblConstr[[#This Row],[Land]]</f>
        <v>110</v>
      </c>
      <c r="B68" s="216">
        <f ca="1">TblConstr[[#This Row],[Plain]]</f>
        <v>60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46104.416666666511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157615</v>
      </c>
      <c r="W68" s="215"/>
      <c r="X68" s="94">
        <f ca="1">ROUND( (1-MIN(ROUND(facs_rezone_factor*TblRezone[[#This Row],[Facs]],4),facs_rezone_max) + tech_6_4*TblTech[[#This Row],[6-4]] + tech_10_2*TblTech[[#This Row],[10-2]] - IF(TblMagic[[#This Row],[Active Mechanical Genius]]&gt;0,mech_genius_bonus,0) + race_rezone_cost) * TblRezone[[#This Row],[Plat/acre*]],0)</f>
        <v>166</v>
      </c>
      <c r="Y68" s="94">
        <f ca="1">TblRezone[[#This Row],[Total acres]]*TblRezone[[#This Row],[Plat/acre]]</f>
        <v>0</v>
      </c>
      <c r="Z68" s="215"/>
      <c r="AA68" s="94">
        <f ca="1">(250+0.6*(TblRezone[[#This Row],[Land]]-250))</f>
        <v>166</v>
      </c>
      <c r="AB68" s="215"/>
      <c r="AC68" s="157">
        <f ca="1">TblConstr[[#This Row],[Facs DB]]</f>
        <v>0</v>
      </c>
    </row>
    <row r="69" spans="1:29" x14ac:dyDescent="0.2">
      <c r="A69" s="214">
        <f ca="1">TblConstr[[#This Row],[Land]]</f>
        <v>110</v>
      </c>
      <c r="B69" s="216">
        <f ca="1">TblConstr[[#This Row],[Plain]]</f>
        <v>60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46104.458333333176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159037</v>
      </c>
      <c r="W69" s="215"/>
      <c r="X69" s="94">
        <f ca="1">ROUND( (1-MIN(ROUND(facs_rezone_factor*TblRezone[[#This Row],[Facs]],4),facs_rezone_max) + tech_6_4*TblTech[[#This Row],[6-4]] + tech_10_2*TblTech[[#This Row],[10-2]] - IF(TblMagic[[#This Row],[Active Mechanical Genius]]&gt;0,mech_genius_bonus,0) + race_rezone_cost) * TblRezone[[#This Row],[Plat/acre*]],0)</f>
        <v>166</v>
      </c>
      <c r="Y69" s="94">
        <f ca="1">TblRezone[[#This Row],[Total acres]]*TblRezone[[#This Row],[Plat/acre]]</f>
        <v>0</v>
      </c>
      <c r="Z69" s="215"/>
      <c r="AA69" s="94">
        <f ca="1">(250+0.6*(TblRezone[[#This Row],[Land]]-250))</f>
        <v>166</v>
      </c>
      <c r="AB69" s="215"/>
      <c r="AC69" s="157">
        <f ca="1">TblConstr[[#This Row],[Facs DB]]</f>
        <v>0</v>
      </c>
    </row>
    <row r="70" spans="1:29" x14ac:dyDescent="0.2">
      <c r="A70" s="214">
        <f ca="1">TblConstr[[#This Row],[Land]]</f>
        <v>110</v>
      </c>
      <c r="B70" s="216">
        <f ca="1">TblConstr[[#This Row],[Plain]]</f>
        <v>60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46104.49999999984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160446</v>
      </c>
      <c r="W70" s="215"/>
      <c r="X70" s="94">
        <f ca="1">ROUND( (1-MIN(ROUND(facs_rezone_factor*TblRezone[[#This Row],[Facs]],4),facs_rezone_max) + tech_6_4*TblTech[[#This Row],[6-4]] + tech_10_2*TblTech[[#This Row],[10-2]] - IF(TblMagic[[#This Row],[Active Mechanical Genius]]&gt;0,mech_genius_bonus,0) + race_rezone_cost) * TblRezone[[#This Row],[Plat/acre*]],0)</f>
        <v>166</v>
      </c>
      <c r="Y70" s="94">
        <f ca="1">TblRezone[[#This Row],[Total acres]]*TblRezone[[#This Row],[Plat/acre]]</f>
        <v>0</v>
      </c>
      <c r="Z70" s="215"/>
      <c r="AA70" s="94">
        <f ca="1">(250+0.6*(TblRezone[[#This Row],[Land]]-250))</f>
        <v>166</v>
      </c>
      <c r="AB70" s="215"/>
      <c r="AC70" s="157">
        <f ca="1">TblConstr[[#This Row],[Facs DB]]</f>
        <v>0</v>
      </c>
    </row>
    <row r="71" spans="1:29" x14ac:dyDescent="0.2">
      <c r="A71" s="214">
        <f ca="1">TblConstr[[#This Row],[Land]]</f>
        <v>110</v>
      </c>
      <c r="B71" s="216">
        <f ca="1">TblConstr[[#This Row],[Plain]]</f>
        <v>60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46104.541666666504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161841</v>
      </c>
      <c r="W71" s="215"/>
      <c r="X71" s="94">
        <f ca="1">ROUND( (1-MIN(ROUND(facs_rezone_factor*TblRezone[[#This Row],[Facs]],4),facs_rezone_max) + tech_6_4*TblTech[[#This Row],[6-4]] + tech_10_2*TblTech[[#This Row],[10-2]] - IF(TblMagic[[#This Row],[Active Mechanical Genius]]&gt;0,mech_genius_bonus,0) + race_rezone_cost) * TblRezone[[#This Row],[Plat/acre*]],0)</f>
        <v>166</v>
      </c>
      <c r="Y71" s="94">
        <f ca="1">TblRezone[[#This Row],[Total acres]]*TblRezone[[#This Row],[Plat/acre]]</f>
        <v>0</v>
      </c>
      <c r="Z71" s="215"/>
      <c r="AA71" s="94">
        <f ca="1">(250+0.6*(TblRezone[[#This Row],[Land]]-250))</f>
        <v>166</v>
      </c>
      <c r="AB71" s="215"/>
      <c r="AC71" s="157">
        <f ca="1">TblConstr[[#This Row],[Facs DB]]</f>
        <v>0</v>
      </c>
    </row>
    <row r="72" spans="1:29" x14ac:dyDescent="0.2">
      <c r="A72" s="214">
        <f ca="1">TblConstr[[#This Row],[Land]]</f>
        <v>110</v>
      </c>
      <c r="B72" s="216">
        <f ca="1">TblConstr[[#This Row],[Plain]]</f>
        <v>60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46104.583333333168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163223</v>
      </c>
      <c r="W72" s="215"/>
      <c r="X72" s="94">
        <f ca="1">ROUND( (1-MIN(ROUND(facs_rezone_factor*TblRezone[[#This Row],[Facs]],4),facs_rezone_max) + tech_6_4*TblTech[[#This Row],[6-4]] + tech_10_2*TblTech[[#This Row],[10-2]] - IF(TblMagic[[#This Row],[Active Mechanical Genius]]&gt;0,mech_genius_bonus,0) + race_rezone_cost) * TblRezone[[#This Row],[Plat/acre*]],0)</f>
        <v>166</v>
      </c>
      <c r="Y72" s="94">
        <f ca="1">TblRezone[[#This Row],[Total acres]]*TblRezone[[#This Row],[Plat/acre]]</f>
        <v>0</v>
      </c>
      <c r="Z72" s="215"/>
      <c r="AA72" s="94">
        <f ca="1">(250+0.6*(TblRezone[[#This Row],[Land]]-250))</f>
        <v>166</v>
      </c>
      <c r="AB72" s="215"/>
      <c r="AC72" s="157">
        <f ca="1">TblConstr[[#This Row],[Facs DB]]</f>
        <v>0</v>
      </c>
    </row>
    <row r="73" spans="1:29" x14ac:dyDescent="0.2">
      <c r="A73" s="214">
        <f ca="1">TblConstr[[#This Row],[Land]]</f>
        <v>110</v>
      </c>
      <c r="B73" s="216">
        <f ca="1">TblConstr[[#This Row],[Plain]]</f>
        <v>60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46104.624999999833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164591</v>
      </c>
      <c r="W73" s="215"/>
      <c r="X73" s="94">
        <f ca="1">ROUND( (1-MIN(ROUND(facs_rezone_factor*TblRezone[[#This Row],[Facs]],4),facs_rezone_max) + tech_6_4*TblTech[[#This Row],[6-4]] + tech_10_2*TblTech[[#This Row],[10-2]] - IF(TblMagic[[#This Row],[Active Mechanical Genius]]&gt;0,mech_genius_bonus,0) + race_rezone_cost) * TblRezone[[#This Row],[Plat/acre*]],0)</f>
        <v>166</v>
      </c>
      <c r="Y73" s="94">
        <f ca="1">TblRezone[[#This Row],[Total acres]]*TblRezone[[#This Row],[Plat/acre]]</f>
        <v>0</v>
      </c>
      <c r="Z73" s="215"/>
      <c r="AA73" s="94">
        <f ca="1">(250+0.6*(TblRezone[[#This Row],[Land]]-250))</f>
        <v>166</v>
      </c>
      <c r="AB73" s="215"/>
      <c r="AC73" s="157">
        <f ca="1">TblConstr[[#This Row],[Facs DB]]</f>
        <v>0</v>
      </c>
    </row>
    <row r="74" spans="1:29" x14ac:dyDescent="0.2">
      <c r="A74" s="214">
        <f ca="1">TblConstr[[#This Row],[Land]]</f>
        <v>110</v>
      </c>
      <c r="B74" s="216">
        <f ca="1">TblConstr[[#This Row],[Plain]]</f>
        <v>60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46104.666666666497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165946</v>
      </c>
      <c r="W74" s="215"/>
      <c r="X74" s="94">
        <f ca="1">ROUND( (1-MIN(ROUND(facs_rezone_factor*TblRezone[[#This Row],[Facs]],4),facs_rezone_max) + tech_6_4*TblTech[[#This Row],[6-4]] + tech_10_2*TblTech[[#This Row],[10-2]] - IF(TblMagic[[#This Row],[Active Mechanical Genius]]&gt;0,mech_genius_bonus,0) + race_rezone_cost) * TblRezone[[#This Row],[Plat/acre*]],0)</f>
        <v>166</v>
      </c>
      <c r="Y74" s="94">
        <f ca="1">TblRezone[[#This Row],[Total acres]]*TblRezone[[#This Row],[Plat/acre]]</f>
        <v>0</v>
      </c>
      <c r="Z74" s="215"/>
      <c r="AA74" s="94">
        <f ca="1">(250+0.6*(TblRezone[[#This Row],[Land]]-250))</f>
        <v>166</v>
      </c>
      <c r="AB74" s="215"/>
      <c r="AC74" s="157">
        <f ca="1">TblConstr[[#This Row],[Facs DB]]</f>
        <v>0</v>
      </c>
    </row>
    <row r="75" spans="1:29" x14ac:dyDescent="0.2">
      <c r="A75" s="214">
        <f ca="1">TblConstr[[#This Row],[Land]]</f>
        <v>110</v>
      </c>
      <c r="B75" s="216">
        <f ca="1">TblConstr[[#This Row],[Plain]]</f>
        <v>60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46104.708333333161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167287</v>
      </c>
      <c r="W75" s="215"/>
      <c r="X75" s="94">
        <f ca="1">ROUND( (1-MIN(ROUND(facs_rezone_factor*TblRezone[[#This Row],[Facs]],4),facs_rezone_max) + tech_6_4*TblTech[[#This Row],[6-4]] + tech_10_2*TblTech[[#This Row],[10-2]] - IF(TblMagic[[#This Row],[Active Mechanical Genius]]&gt;0,mech_genius_bonus,0) + race_rezone_cost) * TblRezone[[#This Row],[Plat/acre*]],0)</f>
        <v>166</v>
      </c>
      <c r="Y75" s="94">
        <f ca="1">TblRezone[[#This Row],[Total acres]]*TblRezone[[#This Row],[Plat/acre]]</f>
        <v>0</v>
      </c>
      <c r="Z75" s="215"/>
      <c r="AA75" s="94">
        <f ca="1">(250+0.6*(TblRezone[[#This Row],[Land]]-250))</f>
        <v>166</v>
      </c>
      <c r="AB75" s="215"/>
      <c r="AC75" s="157">
        <f ca="1">TblConstr[[#This Row],[Facs DB]]</f>
        <v>0</v>
      </c>
    </row>
    <row r="76" spans="1:29" x14ac:dyDescent="0.2">
      <c r="A76" s="214">
        <f ca="1">TblConstr[[#This Row],[Land]]</f>
        <v>110</v>
      </c>
      <c r="B76" s="216">
        <f ca="1">TblConstr[[#This Row],[Plain]]</f>
        <v>60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46104.749999999825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168615</v>
      </c>
      <c r="W76" s="215"/>
      <c r="X76" s="430">
        <f ca="1">ROUND( (1-MIN(ROUND(facs_rezone_factor*TblRezone[[#This Row],[Facs]],4),facs_rezone_max) + tech_6_4*TblTech[[#This Row],[6-4]] + tech_10_2*TblTech[[#This Row],[10-2]] - IF(TblMagic[[#This Row],[Active Mechanical Genius]]&gt;0,mech_genius_bonus,0) + race_rezone_cost) * TblRezone[[#This Row],[Plat/acre*]],0)</f>
        <v>166</v>
      </c>
      <c r="Y76" s="430">
        <f ca="1">TblRezone[[#This Row],[Total acres]]*TblRezone[[#This Row],[Plat/acre]]</f>
        <v>0</v>
      </c>
      <c r="Z76" s="215"/>
      <c r="AA76" s="430">
        <f ca="1">(250+0.6*(TblRezone[[#This Row],[Land]]-250))</f>
        <v>166</v>
      </c>
      <c r="AB76" s="215"/>
      <c r="AC76" s="440">
        <f ca="1">TblConstr[[#This Row],[Facs DB]]</f>
        <v>0</v>
      </c>
    </row>
    <row r="77" spans="1:29" x14ac:dyDescent="0.2">
      <c r="A77" s="214">
        <f ca="1">TblConstr[[#This Row],[Land]]</f>
        <v>110</v>
      </c>
      <c r="B77" s="216">
        <f ca="1">TblConstr[[#This Row],[Plain]]</f>
        <v>60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46104.79166666649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169929</v>
      </c>
      <c r="W77" s="215"/>
      <c r="X77" s="94">
        <f ca="1">ROUND( (1-MIN(ROUND(facs_rezone_factor*TblRezone[[#This Row],[Facs]],4),facs_rezone_max) + tech_6_4*TblTech[[#This Row],[6-4]] + tech_10_2*TblTech[[#This Row],[10-2]] - IF(TblMagic[[#This Row],[Active Mechanical Genius]]&gt;0,mech_genius_bonus,0) + race_rezone_cost) * TblRezone[[#This Row],[Plat/acre*]],0)</f>
        <v>166</v>
      </c>
      <c r="Y77" s="94">
        <f ca="1">TblRezone[[#This Row],[Total acres]]*TblRezone[[#This Row],[Plat/acre]]</f>
        <v>0</v>
      </c>
      <c r="Z77" s="215"/>
      <c r="AA77" s="94">
        <f ca="1">(250+0.6*(TblRezone[[#This Row],[Land]]-250))</f>
        <v>166</v>
      </c>
      <c r="AB77" s="215"/>
      <c r="AC77" s="157">
        <f ca="1">TblConstr[[#This Row],[Facs DB]]</f>
        <v>0</v>
      </c>
    </row>
    <row r="78" spans="1:29" x14ac:dyDescent="0.2">
      <c r="A78" s="214">
        <f ca="1">TblConstr[[#This Row],[Land]]</f>
        <v>110</v>
      </c>
      <c r="B78" s="216">
        <f ca="1">TblConstr[[#This Row],[Plain]]</f>
        <v>60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46104.833333333154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171230</v>
      </c>
      <c r="W78" s="215"/>
      <c r="X78" s="94">
        <f ca="1">ROUND( (1-MIN(ROUND(facs_rezone_factor*TblRezone[[#This Row],[Facs]],4),facs_rezone_max) + tech_6_4*TblTech[[#This Row],[6-4]] + tech_10_2*TblTech[[#This Row],[10-2]] - IF(TblMagic[[#This Row],[Active Mechanical Genius]]&gt;0,mech_genius_bonus,0) + race_rezone_cost) * TblRezone[[#This Row],[Plat/acre*]],0)</f>
        <v>166</v>
      </c>
      <c r="Y78" s="94">
        <f ca="1">TblRezone[[#This Row],[Total acres]]*TblRezone[[#This Row],[Plat/acre]]</f>
        <v>0</v>
      </c>
      <c r="Z78" s="215"/>
      <c r="AA78" s="94">
        <f ca="1">(250+0.6*(TblRezone[[#This Row],[Land]]-250))</f>
        <v>166</v>
      </c>
      <c r="AB78" s="215"/>
      <c r="AC78" s="157">
        <f ca="1">TblConstr[[#This Row],[Facs DB]]</f>
        <v>0</v>
      </c>
    </row>
    <row r="79" spans="1:29" x14ac:dyDescent="0.2">
      <c r="A79" s="214">
        <f ca="1">TblConstr[[#This Row],[Land]]</f>
        <v>110</v>
      </c>
      <c r="B79" s="216">
        <f ca="1">TblConstr[[#This Row],[Plain]]</f>
        <v>60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46104.874999999818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172517</v>
      </c>
      <c r="W79" s="215"/>
      <c r="X79" s="94">
        <f ca="1">ROUND( (1-MIN(ROUND(facs_rezone_factor*TblRezone[[#This Row],[Facs]],4),facs_rezone_max) + tech_6_4*TblTech[[#This Row],[6-4]] + tech_10_2*TblTech[[#This Row],[10-2]] - IF(TblMagic[[#This Row],[Active Mechanical Genius]]&gt;0,mech_genius_bonus,0) + race_rezone_cost) * TblRezone[[#This Row],[Plat/acre*]],0)</f>
        <v>166</v>
      </c>
      <c r="Y79" s="94">
        <f ca="1">TblRezone[[#This Row],[Total acres]]*TblRezone[[#This Row],[Plat/acre]]</f>
        <v>0</v>
      </c>
      <c r="Z79" s="215"/>
      <c r="AA79" s="94">
        <f ca="1">(250+0.6*(TblRezone[[#This Row],[Land]]-250))</f>
        <v>166</v>
      </c>
      <c r="AB79" s="215"/>
      <c r="AC79" s="157">
        <f ca="1">TblConstr[[#This Row],[Facs DB]]</f>
        <v>0</v>
      </c>
    </row>
    <row r="80" spans="1:29" x14ac:dyDescent="0.2">
      <c r="A80" s="214">
        <f ca="1">TblConstr[[#This Row],[Land]]</f>
        <v>110</v>
      </c>
      <c r="B80" s="216">
        <f ca="1">TblConstr[[#This Row],[Plain]]</f>
        <v>60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46104.916666666482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173791</v>
      </c>
      <c r="W80" s="215"/>
      <c r="X80" s="94">
        <f ca="1">ROUND( (1-MIN(ROUND(facs_rezone_factor*TblRezone[[#This Row],[Facs]],4),facs_rezone_max) + tech_6_4*TblTech[[#This Row],[6-4]] + tech_10_2*TblTech[[#This Row],[10-2]] - IF(TblMagic[[#This Row],[Active Mechanical Genius]]&gt;0,mech_genius_bonus,0) + race_rezone_cost) * TblRezone[[#This Row],[Plat/acre*]],0)</f>
        <v>166</v>
      </c>
      <c r="Y80" s="94">
        <f ca="1">TblRezone[[#This Row],[Total acres]]*TblRezone[[#This Row],[Plat/acre]]</f>
        <v>0</v>
      </c>
      <c r="Z80" s="215"/>
      <c r="AA80" s="94">
        <f ca="1">(250+0.6*(TblRezone[[#This Row],[Land]]-250))</f>
        <v>166</v>
      </c>
      <c r="AB80" s="215"/>
      <c r="AC80" s="157">
        <f ca="1">TblConstr[[#This Row],[Facs DB]]</f>
        <v>0</v>
      </c>
    </row>
    <row r="81" spans="1:29" x14ac:dyDescent="0.2">
      <c r="A81" s="214">
        <f ca="1">TblConstr[[#This Row],[Land]]</f>
        <v>110</v>
      </c>
      <c r="B81" s="216">
        <f ca="1">TblConstr[[#This Row],[Plain]]</f>
        <v>60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46104.958333333147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175051</v>
      </c>
      <c r="W81" s="215"/>
      <c r="X81" s="94">
        <f ca="1">ROUND( (1-MIN(ROUND(facs_rezone_factor*TblRezone[[#This Row],[Facs]],4),facs_rezone_max) + tech_6_4*TblTech[[#This Row],[6-4]] + tech_10_2*TblTech[[#This Row],[10-2]] - IF(TblMagic[[#This Row],[Active Mechanical Genius]]&gt;0,mech_genius_bonus,0) + race_rezone_cost) * TblRezone[[#This Row],[Plat/acre*]],0)</f>
        <v>166</v>
      </c>
      <c r="Y81" s="94">
        <f ca="1">TblRezone[[#This Row],[Total acres]]*TblRezone[[#This Row],[Plat/acre]]</f>
        <v>0</v>
      </c>
      <c r="Z81" s="215"/>
      <c r="AA81" s="94">
        <f ca="1">(250+0.6*(TblRezone[[#This Row],[Land]]-250))</f>
        <v>166</v>
      </c>
      <c r="AB81" s="215"/>
      <c r="AC81" s="157">
        <f ca="1">TblConstr[[#This Row],[Facs DB]]</f>
        <v>0</v>
      </c>
    </row>
    <row r="82" spans="1:29" x14ac:dyDescent="0.2">
      <c r="A82" s="214">
        <f ca="1">TblConstr[[#This Row],[Land]]</f>
        <v>110</v>
      </c>
      <c r="B82" s="216">
        <f ca="1">TblConstr[[#This Row],[Plain]]</f>
        <v>60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46104.999999999811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176298</v>
      </c>
      <c r="W82" s="215"/>
      <c r="X82" s="94">
        <f ca="1">ROUND( (1-MIN(ROUND(facs_rezone_factor*TblRezone[[#This Row],[Facs]],4),facs_rezone_max) + tech_6_4*TblTech[[#This Row],[6-4]] + tech_10_2*TblTech[[#This Row],[10-2]] - IF(TblMagic[[#This Row],[Active Mechanical Genius]]&gt;0,mech_genius_bonus,0) + race_rezone_cost) * TblRezone[[#This Row],[Plat/acre*]],0)</f>
        <v>166</v>
      </c>
      <c r="Y82" s="94">
        <f ca="1">TblRezone[[#This Row],[Total acres]]*TblRezone[[#This Row],[Plat/acre]]</f>
        <v>0</v>
      </c>
      <c r="Z82" s="215"/>
      <c r="AA82" s="94">
        <f ca="1">(250+0.6*(TblRezone[[#This Row],[Land]]-250))</f>
        <v>166</v>
      </c>
      <c r="AB82" s="215"/>
      <c r="AC82" s="157">
        <f ca="1">TblConstr[[#This Row],[Facs DB]]</f>
        <v>0</v>
      </c>
    </row>
    <row r="83" spans="1:29" x14ac:dyDescent="0.2">
      <c r="A83" s="214">
        <f ca="1">TblConstr[[#This Row],[Land]]</f>
        <v>110</v>
      </c>
      <c r="B83" s="216">
        <f ca="1">TblConstr[[#This Row],[Plain]]</f>
        <v>60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46105.041666666475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177531</v>
      </c>
      <c r="W83" s="215"/>
      <c r="X83" s="94">
        <f ca="1">ROUND( (1-MIN(ROUND(facs_rezone_factor*TblRezone[[#This Row],[Facs]],4),facs_rezone_max) + tech_6_4*TblTech[[#This Row],[6-4]] + tech_10_2*TblTech[[#This Row],[10-2]] - IF(TblMagic[[#This Row],[Active Mechanical Genius]]&gt;0,mech_genius_bonus,0) + race_rezone_cost) * TblRezone[[#This Row],[Plat/acre*]],0)</f>
        <v>166</v>
      </c>
      <c r="Y83" s="94">
        <f ca="1">TblRezone[[#This Row],[Total acres]]*TblRezone[[#This Row],[Plat/acre]]</f>
        <v>0</v>
      </c>
      <c r="Z83" s="215"/>
      <c r="AA83" s="94">
        <f ca="1">(250+0.6*(TblRezone[[#This Row],[Land]]-250))</f>
        <v>166</v>
      </c>
      <c r="AB83" s="215"/>
      <c r="AC83" s="157">
        <f ca="1">TblConstr[[#This Row],[Facs DB]]</f>
        <v>0</v>
      </c>
    </row>
    <row r="84" spans="1:29" x14ac:dyDescent="0.2">
      <c r="A84" s="214">
        <f ca="1">TblConstr[[#This Row],[Land]]</f>
        <v>110</v>
      </c>
      <c r="B84" s="216">
        <f ca="1">TblConstr[[#This Row],[Plain]]</f>
        <v>60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46105.083333333139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178751</v>
      </c>
      <c r="W84" s="215"/>
      <c r="X84" s="94">
        <f ca="1">ROUND( (1-MIN(ROUND(facs_rezone_factor*TblRezone[[#This Row],[Facs]],4),facs_rezone_max) + tech_6_4*TblTech[[#This Row],[6-4]] + tech_10_2*TblTech[[#This Row],[10-2]] - IF(TblMagic[[#This Row],[Active Mechanical Genius]]&gt;0,mech_genius_bonus,0) + race_rezone_cost) * TblRezone[[#This Row],[Plat/acre*]],0)</f>
        <v>166</v>
      </c>
      <c r="Y84" s="94">
        <f ca="1">TblRezone[[#This Row],[Total acres]]*TblRezone[[#This Row],[Plat/acre]]</f>
        <v>0</v>
      </c>
      <c r="Z84" s="215"/>
      <c r="AA84" s="94">
        <f ca="1">(250+0.6*(TblRezone[[#This Row],[Land]]-250))</f>
        <v>166</v>
      </c>
      <c r="AB84" s="215"/>
      <c r="AC84" s="157">
        <f ca="1">TblConstr[[#This Row],[Facs DB]]</f>
        <v>0</v>
      </c>
    </row>
    <row r="85" spans="1:29" x14ac:dyDescent="0.2">
      <c r="A85" s="214">
        <f ca="1">TblConstr[[#This Row],[Land]]</f>
        <v>110</v>
      </c>
      <c r="B85" s="216">
        <f ca="1">TblConstr[[#This Row],[Plain]]</f>
        <v>60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46105.124999999804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179957</v>
      </c>
      <c r="W85" s="215"/>
      <c r="X85" s="94">
        <f ca="1">ROUND( (1-MIN(ROUND(facs_rezone_factor*TblRezone[[#This Row],[Facs]],4),facs_rezone_max) + tech_6_4*TblTech[[#This Row],[6-4]] + tech_10_2*TblTech[[#This Row],[10-2]] - IF(TblMagic[[#This Row],[Active Mechanical Genius]]&gt;0,mech_genius_bonus,0) + race_rezone_cost) * TblRezone[[#This Row],[Plat/acre*]],0)</f>
        <v>166</v>
      </c>
      <c r="Y85" s="94">
        <f ca="1">TblRezone[[#This Row],[Total acres]]*TblRezone[[#This Row],[Plat/acre]]</f>
        <v>0</v>
      </c>
      <c r="Z85" s="215"/>
      <c r="AA85" s="94">
        <f ca="1">(250+0.6*(TblRezone[[#This Row],[Land]]-250))</f>
        <v>166</v>
      </c>
      <c r="AB85" s="215"/>
      <c r="AC85" s="157">
        <f ca="1">TblConstr[[#This Row],[Facs DB]]</f>
        <v>0</v>
      </c>
    </row>
    <row r="86" spans="1:29" x14ac:dyDescent="0.2">
      <c r="A86" s="214">
        <f ca="1">TblConstr[[#This Row],[Land]]</f>
        <v>110</v>
      </c>
      <c r="B86" s="216">
        <f ca="1">TblConstr[[#This Row],[Plain]]</f>
        <v>60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46105.166666666468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181153</v>
      </c>
      <c r="W86" s="215"/>
      <c r="X86" s="94">
        <f ca="1">ROUND( (1-MIN(ROUND(facs_rezone_factor*TblRezone[[#This Row],[Facs]],4),facs_rezone_max) + tech_6_4*TblTech[[#This Row],[6-4]] + tech_10_2*TblTech[[#This Row],[10-2]] - IF(TblMagic[[#This Row],[Active Mechanical Genius]]&gt;0,mech_genius_bonus,0) + race_rezone_cost) * TblRezone[[#This Row],[Plat/acre*]],0)</f>
        <v>166</v>
      </c>
      <c r="Y86" s="94">
        <f ca="1">TblRezone[[#This Row],[Total acres]]*TblRezone[[#This Row],[Plat/acre]]</f>
        <v>0</v>
      </c>
      <c r="Z86" s="215"/>
      <c r="AA86" s="94">
        <f ca="1">(250+0.6*(TblRezone[[#This Row],[Land]]-250))</f>
        <v>166</v>
      </c>
      <c r="AB86" s="215"/>
      <c r="AC86" s="157">
        <f ca="1">TblConstr[[#This Row],[Facs DB]]</f>
        <v>0</v>
      </c>
    </row>
    <row r="87" spans="1:29" x14ac:dyDescent="0.2">
      <c r="A87" s="214">
        <f ca="1">TblConstr[[#This Row],[Land]]</f>
        <v>110</v>
      </c>
      <c r="B87" s="216">
        <f ca="1">TblConstr[[#This Row],[Plain]]</f>
        <v>60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46105.208333333132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182338</v>
      </c>
      <c r="W87" s="215"/>
      <c r="X87" s="94">
        <f ca="1">ROUND( (1-MIN(ROUND(facs_rezone_factor*TblRezone[[#This Row],[Facs]],4),facs_rezone_max) + tech_6_4*TblTech[[#This Row],[6-4]] + tech_10_2*TblTech[[#This Row],[10-2]] - IF(TblMagic[[#This Row],[Active Mechanical Genius]]&gt;0,mech_genius_bonus,0) + race_rezone_cost) * TblRezone[[#This Row],[Plat/acre*]],0)</f>
        <v>166</v>
      </c>
      <c r="Y87" s="94">
        <f ca="1">TblRezone[[#This Row],[Total acres]]*TblRezone[[#This Row],[Plat/acre]]</f>
        <v>0</v>
      </c>
      <c r="Z87" s="215"/>
      <c r="AA87" s="94">
        <f ca="1">(250+0.6*(TblRezone[[#This Row],[Land]]-250))</f>
        <v>166</v>
      </c>
      <c r="AB87" s="215"/>
      <c r="AC87" s="157">
        <f ca="1">TblConstr[[#This Row],[Facs DB]]</f>
        <v>0</v>
      </c>
    </row>
    <row r="88" spans="1:29" x14ac:dyDescent="0.2">
      <c r="A88" s="214">
        <f ca="1">TblConstr[[#This Row],[Land]]</f>
        <v>110</v>
      </c>
      <c r="B88" s="216">
        <f ca="1">TblConstr[[#This Row],[Plain]]</f>
        <v>60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46105.249999999796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183512</v>
      </c>
      <c r="W88" s="215"/>
      <c r="X88" s="94">
        <f ca="1">ROUND( (1-MIN(ROUND(facs_rezone_factor*TblRezone[[#This Row],[Facs]],4),facs_rezone_max) + tech_6_4*TblTech[[#This Row],[6-4]] + tech_10_2*TblTech[[#This Row],[10-2]] - IF(TblMagic[[#This Row],[Active Mechanical Genius]]&gt;0,mech_genius_bonus,0) + race_rezone_cost) * TblRezone[[#This Row],[Plat/acre*]],0)</f>
        <v>166</v>
      </c>
      <c r="Y88" s="94">
        <f ca="1">TblRezone[[#This Row],[Total acres]]*TblRezone[[#This Row],[Plat/acre]]</f>
        <v>0</v>
      </c>
      <c r="Z88" s="215"/>
      <c r="AA88" s="94">
        <f ca="1">(250+0.6*(TblRezone[[#This Row],[Land]]-250))</f>
        <v>166</v>
      </c>
      <c r="AB88" s="215"/>
      <c r="AC88" s="157">
        <f ca="1">TblConstr[[#This Row],[Facs DB]]</f>
        <v>0</v>
      </c>
    </row>
    <row r="89" spans="1:29" x14ac:dyDescent="0.2">
      <c r="A89" s="214">
        <f ca="1">TblConstr[[#This Row],[Land]]</f>
        <v>110</v>
      </c>
      <c r="B89" s="216">
        <f ca="1">TblConstr[[#This Row],[Plain]]</f>
        <v>60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46105.291666666461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184675</v>
      </c>
      <c r="W89" s="215"/>
      <c r="X89" s="94">
        <f ca="1">ROUND( (1-MIN(ROUND(facs_rezone_factor*TblRezone[[#This Row],[Facs]],4),facs_rezone_max) + tech_6_4*TblTech[[#This Row],[6-4]] + tech_10_2*TblTech[[#This Row],[10-2]] - IF(TblMagic[[#This Row],[Active Mechanical Genius]]&gt;0,mech_genius_bonus,0) + race_rezone_cost) * TblRezone[[#This Row],[Plat/acre*]],0)</f>
        <v>166</v>
      </c>
      <c r="Y89" s="94">
        <f ca="1">TblRezone[[#This Row],[Total acres]]*TblRezone[[#This Row],[Plat/acre]]</f>
        <v>0</v>
      </c>
      <c r="Z89" s="215"/>
      <c r="AA89" s="94">
        <f ca="1">(250+0.6*(TblRezone[[#This Row],[Land]]-250))</f>
        <v>166</v>
      </c>
      <c r="AB89" s="215"/>
      <c r="AC89" s="157">
        <f ca="1">TblConstr[[#This Row],[Facs DB]]</f>
        <v>0</v>
      </c>
    </row>
    <row r="90" spans="1:29" x14ac:dyDescent="0.2">
      <c r="A90" s="214">
        <f ca="1">TblConstr[[#This Row],[Land]]</f>
        <v>110</v>
      </c>
      <c r="B90" s="216">
        <f ca="1">TblConstr[[#This Row],[Plain]]</f>
        <v>60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46105.333333333125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185827</v>
      </c>
      <c r="W90" s="215"/>
      <c r="X90" s="94">
        <f ca="1">ROUND( (1-MIN(ROUND(facs_rezone_factor*TblRezone[[#This Row],[Facs]],4),facs_rezone_max) + tech_6_4*TblTech[[#This Row],[6-4]] + tech_10_2*TblTech[[#This Row],[10-2]] - IF(TblMagic[[#This Row],[Active Mechanical Genius]]&gt;0,mech_genius_bonus,0) + race_rezone_cost) * TblRezone[[#This Row],[Plat/acre*]],0)</f>
        <v>166</v>
      </c>
      <c r="Y90" s="94">
        <f ca="1">TblRezone[[#This Row],[Total acres]]*TblRezone[[#This Row],[Plat/acre]]</f>
        <v>0</v>
      </c>
      <c r="Z90" s="215"/>
      <c r="AA90" s="94">
        <f ca="1">(250+0.6*(TblRezone[[#This Row],[Land]]-250))</f>
        <v>166</v>
      </c>
      <c r="AB90" s="215"/>
      <c r="AC90" s="157">
        <f ca="1">TblConstr[[#This Row],[Facs DB]]</f>
        <v>0</v>
      </c>
    </row>
    <row r="91" spans="1:29" x14ac:dyDescent="0.2">
      <c r="A91" s="214">
        <f ca="1">TblConstr[[#This Row],[Land]]</f>
        <v>110</v>
      </c>
      <c r="B91" s="216">
        <f ca="1">TblConstr[[#This Row],[Plain]]</f>
        <v>60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46105.374999999789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186969</v>
      </c>
      <c r="W91" s="215"/>
      <c r="X91" s="94">
        <f ca="1">ROUND( (1-MIN(ROUND(facs_rezone_factor*TblRezone[[#This Row],[Facs]],4),facs_rezone_max) + tech_6_4*TblTech[[#This Row],[6-4]] + tech_10_2*TblTech[[#This Row],[10-2]] - IF(TblMagic[[#This Row],[Active Mechanical Genius]]&gt;0,mech_genius_bonus,0) + race_rezone_cost) * TblRezone[[#This Row],[Plat/acre*]],0)</f>
        <v>166</v>
      </c>
      <c r="Y91" s="94">
        <f ca="1">TblRezone[[#This Row],[Total acres]]*TblRezone[[#This Row],[Plat/acre]]</f>
        <v>0</v>
      </c>
      <c r="Z91" s="215"/>
      <c r="AA91" s="94">
        <f ca="1">(250+0.6*(TblRezone[[#This Row],[Land]]-250))</f>
        <v>166</v>
      </c>
      <c r="AB91" s="215"/>
      <c r="AC91" s="157">
        <f ca="1">TblConstr[[#This Row],[Facs DB]]</f>
        <v>0</v>
      </c>
    </row>
    <row r="92" spans="1:29" x14ac:dyDescent="0.2">
      <c r="A92" s="214">
        <f ca="1">TblConstr[[#This Row],[Land]]</f>
        <v>110</v>
      </c>
      <c r="B92" s="216">
        <f ca="1">TblConstr[[#This Row],[Plain]]</f>
        <v>60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46105.416666666453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188100</v>
      </c>
      <c r="W92" s="215"/>
      <c r="X92" s="94">
        <f ca="1">ROUND( (1-MIN(ROUND(facs_rezone_factor*TblRezone[[#This Row],[Facs]],4),facs_rezone_max) + tech_6_4*TblTech[[#This Row],[6-4]] + tech_10_2*TblTech[[#This Row],[10-2]] - IF(TblMagic[[#This Row],[Active Mechanical Genius]]&gt;0,mech_genius_bonus,0) + race_rezone_cost) * TblRezone[[#This Row],[Plat/acre*]],0)</f>
        <v>166</v>
      </c>
      <c r="Y92" s="94">
        <f ca="1">TblRezone[[#This Row],[Total acres]]*TblRezone[[#This Row],[Plat/acre]]</f>
        <v>0</v>
      </c>
      <c r="Z92" s="215"/>
      <c r="AA92" s="94">
        <f ca="1">(250+0.6*(TblRezone[[#This Row],[Land]]-250))</f>
        <v>166</v>
      </c>
      <c r="AB92" s="215"/>
      <c r="AC92" s="157">
        <f ca="1">TblConstr[[#This Row],[Facs DB]]</f>
        <v>0</v>
      </c>
    </row>
    <row r="93" spans="1:29" x14ac:dyDescent="0.2">
      <c r="A93" s="214">
        <f ca="1">TblConstr[[#This Row],[Land]]</f>
        <v>110</v>
      </c>
      <c r="B93" s="216">
        <f ca="1">TblConstr[[#This Row],[Plain]]</f>
        <v>60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46105.458333333117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189220</v>
      </c>
      <c r="W93" s="215"/>
      <c r="X93" s="94">
        <f ca="1">ROUND( (1-MIN(ROUND(facs_rezone_factor*TblRezone[[#This Row],[Facs]],4),facs_rezone_max) + tech_6_4*TblTech[[#This Row],[6-4]] + tech_10_2*TblTech[[#This Row],[10-2]] - IF(TblMagic[[#This Row],[Active Mechanical Genius]]&gt;0,mech_genius_bonus,0) + race_rezone_cost) * TblRezone[[#This Row],[Plat/acre*]],0)</f>
        <v>166</v>
      </c>
      <c r="Y93" s="94">
        <f ca="1">TblRezone[[#This Row],[Total acres]]*TblRezone[[#This Row],[Plat/acre]]</f>
        <v>0</v>
      </c>
      <c r="Z93" s="215"/>
      <c r="AA93" s="94">
        <f ca="1">(250+0.6*(TblRezone[[#This Row],[Land]]-250))</f>
        <v>166</v>
      </c>
      <c r="AB93" s="215"/>
      <c r="AC93" s="157">
        <f ca="1">TblConstr[[#This Row],[Facs DB]]</f>
        <v>0</v>
      </c>
    </row>
    <row r="94" spans="1:29" x14ac:dyDescent="0.2">
      <c r="A94" s="214">
        <f ca="1">TblConstr[[#This Row],[Land]]</f>
        <v>110</v>
      </c>
      <c r="B94" s="216">
        <f ca="1">TblConstr[[#This Row],[Plain]]</f>
        <v>60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46105.499999999782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190329</v>
      </c>
      <c r="W94" s="215"/>
      <c r="X94" s="94">
        <f ca="1">ROUND( (1-MIN(ROUND(facs_rezone_factor*TblRezone[[#This Row],[Facs]],4),facs_rezone_max) + tech_6_4*TblTech[[#This Row],[6-4]] + tech_10_2*TblTech[[#This Row],[10-2]] - IF(TblMagic[[#This Row],[Active Mechanical Genius]]&gt;0,mech_genius_bonus,0) + race_rezone_cost) * TblRezone[[#This Row],[Plat/acre*]],0)</f>
        <v>166</v>
      </c>
      <c r="Y94" s="94">
        <f ca="1">TblRezone[[#This Row],[Total acres]]*TblRezone[[#This Row],[Plat/acre]]</f>
        <v>0</v>
      </c>
      <c r="Z94" s="215"/>
      <c r="AA94" s="94">
        <f ca="1">(250+0.6*(TblRezone[[#This Row],[Land]]-250))</f>
        <v>166</v>
      </c>
      <c r="AB94" s="215"/>
      <c r="AC94" s="157">
        <f ca="1">TblConstr[[#This Row],[Facs DB]]</f>
        <v>0</v>
      </c>
    </row>
    <row r="95" spans="1:29" x14ac:dyDescent="0.2">
      <c r="A95" s="214">
        <f ca="1">TblConstr[[#This Row],[Land]]</f>
        <v>110</v>
      </c>
      <c r="B95" s="216">
        <f ca="1">TblConstr[[#This Row],[Plain]]</f>
        <v>60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46105.541666666446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191427</v>
      </c>
      <c r="W95" s="215"/>
      <c r="X95" s="94">
        <f ca="1">ROUND( (1-MIN(ROUND(facs_rezone_factor*TblRezone[[#This Row],[Facs]],4),facs_rezone_max) + tech_6_4*TblTech[[#This Row],[6-4]] + tech_10_2*TblTech[[#This Row],[10-2]] - IF(TblMagic[[#This Row],[Active Mechanical Genius]]&gt;0,mech_genius_bonus,0) + race_rezone_cost) * TblRezone[[#This Row],[Plat/acre*]],0)</f>
        <v>166</v>
      </c>
      <c r="Y95" s="94">
        <f ca="1">TblRezone[[#This Row],[Total acres]]*TblRezone[[#This Row],[Plat/acre]]</f>
        <v>0</v>
      </c>
      <c r="Z95" s="215"/>
      <c r="AA95" s="94">
        <f ca="1">(250+0.6*(TblRezone[[#This Row],[Land]]-250))</f>
        <v>166</v>
      </c>
      <c r="AB95" s="215"/>
      <c r="AC95" s="157">
        <f ca="1">TblConstr[[#This Row],[Facs DB]]</f>
        <v>0</v>
      </c>
    </row>
    <row r="96" spans="1:29" x14ac:dyDescent="0.2">
      <c r="A96" s="214">
        <f ca="1">TblConstr[[#This Row],[Land]]</f>
        <v>110</v>
      </c>
      <c r="B96" s="216">
        <f ca="1">TblConstr[[#This Row],[Plain]]</f>
        <v>60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46105.58333333311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192515</v>
      </c>
      <c r="W96" s="215"/>
      <c r="X96" s="94">
        <f ca="1">ROUND( (1-MIN(ROUND(facs_rezone_factor*TblRezone[[#This Row],[Facs]],4),facs_rezone_max) + tech_6_4*TblTech[[#This Row],[6-4]] + tech_10_2*TblTech[[#This Row],[10-2]] - IF(TblMagic[[#This Row],[Active Mechanical Genius]]&gt;0,mech_genius_bonus,0) + race_rezone_cost) * TblRezone[[#This Row],[Plat/acre*]],0)</f>
        <v>166</v>
      </c>
      <c r="Y96" s="94">
        <f ca="1">TblRezone[[#This Row],[Total acres]]*TblRezone[[#This Row],[Plat/acre]]</f>
        <v>0</v>
      </c>
      <c r="Z96" s="215"/>
      <c r="AA96" s="94">
        <f ca="1">(250+0.6*(TblRezone[[#This Row],[Land]]-250))</f>
        <v>166</v>
      </c>
      <c r="AB96" s="215"/>
      <c r="AC96" s="157">
        <f ca="1">TblConstr[[#This Row],[Facs DB]]</f>
        <v>0</v>
      </c>
    </row>
    <row r="97" spans="1:29" x14ac:dyDescent="0.2">
      <c r="A97" s="214">
        <f ca="1">TblConstr[[#This Row],[Land]]</f>
        <v>110</v>
      </c>
      <c r="B97" s="216">
        <f ca="1">TblConstr[[#This Row],[Plain]]</f>
        <v>60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46105.624999999774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193592</v>
      </c>
      <c r="W97" s="215"/>
      <c r="X97" s="94">
        <f ca="1">ROUND( (1-MIN(ROUND(facs_rezone_factor*TblRezone[[#This Row],[Facs]],4),facs_rezone_max) + tech_6_4*TblTech[[#This Row],[6-4]] + tech_10_2*TblTech[[#This Row],[10-2]] - IF(TblMagic[[#This Row],[Active Mechanical Genius]]&gt;0,mech_genius_bonus,0) + race_rezone_cost) * TblRezone[[#This Row],[Plat/acre*]],0)</f>
        <v>166</v>
      </c>
      <c r="Y97" s="94">
        <f ca="1">TblRezone[[#This Row],[Total acres]]*TblRezone[[#This Row],[Plat/acre]]</f>
        <v>0</v>
      </c>
      <c r="Z97" s="215"/>
      <c r="AA97" s="94">
        <f ca="1">(250+0.6*(TblRezone[[#This Row],[Land]]-250))</f>
        <v>166</v>
      </c>
      <c r="AB97" s="215"/>
      <c r="AC97" s="157">
        <f ca="1">TblConstr[[#This Row],[Facs DB]]</f>
        <v>0</v>
      </c>
    </row>
    <row r="98" spans="1:29" x14ac:dyDescent="0.2">
      <c r="A98" s="214">
        <f ca="1">TblConstr[[#This Row],[Land]]</f>
        <v>110</v>
      </c>
      <c r="B98" s="216">
        <f ca="1">TblConstr[[#This Row],[Plain]]</f>
        <v>60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46105.666666666439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194658</v>
      </c>
      <c r="W98" s="215"/>
      <c r="X98" s="94">
        <f ca="1">ROUND( (1-MIN(ROUND(facs_rezone_factor*TblRezone[[#This Row],[Facs]],4),facs_rezone_max) + tech_6_4*TblTech[[#This Row],[6-4]] + tech_10_2*TblTech[[#This Row],[10-2]] - IF(TblMagic[[#This Row],[Active Mechanical Genius]]&gt;0,mech_genius_bonus,0) + race_rezone_cost) * TblRezone[[#This Row],[Plat/acre*]],0)</f>
        <v>166</v>
      </c>
      <c r="Y98" s="94">
        <f ca="1">TblRezone[[#This Row],[Total acres]]*TblRezone[[#This Row],[Plat/acre]]</f>
        <v>0</v>
      </c>
      <c r="Z98" s="215"/>
      <c r="AA98" s="94">
        <f ca="1">(250+0.6*(TblRezone[[#This Row],[Land]]-250))</f>
        <v>166</v>
      </c>
      <c r="AB98" s="215"/>
      <c r="AC98" s="157">
        <f ca="1">TblConstr[[#This Row],[Facs DB]]</f>
        <v>0</v>
      </c>
    </row>
    <row r="99" spans="1:29" x14ac:dyDescent="0.2">
      <c r="A99" s="214">
        <f ca="1">TblConstr[[#This Row],[Land]]</f>
        <v>110</v>
      </c>
      <c r="B99" s="216">
        <f ca="1">TblConstr[[#This Row],[Plain]]</f>
        <v>60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46105.708333333103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195713</v>
      </c>
      <c r="W99" s="215"/>
      <c r="X99" s="94">
        <f ca="1">ROUND( (1-MIN(ROUND(facs_rezone_factor*TblRezone[[#This Row],[Facs]],4),facs_rezone_max) + tech_6_4*TblTech[[#This Row],[6-4]] + tech_10_2*TblTech[[#This Row],[10-2]] - IF(TblMagic[[#This Row],[Active Mechanical Genius]]&gt;0,mech_genius_bonus,0) + race_rezone_cost) * TblRezone[[#This Row],[Plat/acre*]],0)</f>
        <v>166</v>
      </c>
      <c r="Y99" s="94">
        <f ca="1">TblRezone[[#This Row],[Total acres]]*TblRezone[[#This Row],[Plat/acre]]</f>
        <v>0</v>
      </c>
      <c r="Z99" s="215"/>
      <c r="AA99" s="94">
        <f ca="1">(250+0.6*(TblRezone[[#This Row],[Land]]-250))</f>
        <v>166</v>
      </c>
      <c r="AB99" s="215"/>
      <c r="AC99" s="157">
        <f ca="1">TblConstr[[#This Row],[Facs DB]]</f>
        <v>0</v>
      </c>
    </row>
    <row r="100" spans="1:29" x14ac:dyDescent="0.2">
      <c r="A100" s="214">
        <f ca="1">TblConstr[[#This Row],[Land]]</f>
        <v>110</v>
      </c>
      <c r="B100" s="216">
        <f ca="1">TblConstr[[#This Row],[Plain]]</f>
        <v>60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46105.749999999767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196757</v>
      </c>
      <c r="W100" s="215"/>
      <c r="X100" s="94">
        <f ca="1">ROUND( (1-MIN(ROUND(facs_rezone_factor*TblRezone[[#This Row],[Facs]],4),facs_rezone_max) + tech_6_4*TblTech[[#This Row],[6-4]] + tech_10_2*TblTech[[#This Row],[10-2]] - IF(TblMagic[[#This Row],[Active Mechanical Genius]]&gt;0,mech_genius_bonus,0) + race_rezone_cost) * TblRezone[[#This Row],[Plat/acre*]],0)</f>
        <v>166</v>
      </c>
      <c r="Y100" s="94">
        <f ca="1">TblRezone[[#This Row],[Total acres]]*TblRezone[[#This Row],[Plat/acre]]</f>
        <v>0</v>
      </c>
      <c r="Z100" s="215"/>
      <c r="AA100" s="94">
        <f ca="1">(250+0.6*(TblRezone[[#This Row],[Land]]-250))</f>
        <v>166</v>
      </c>
      <c r="AB100" s="215"/>
      <c r="AC100" s="157">
        <f ca="1">TblConstr[[#This Row],[Facs DB]]</f>
        <v>0</v>
      </c>
    </row>
    <row r="101" spans="1:29" x14ac:dyDescent="0.2">
      <c r="A101" s="214">
        <f ca="1">TblConstr[[#This Row],[Land]]</f>
        <v>110</v>
      </c>
      <c r="B101" s="216">
        <f ca="1">TblConstr[[#This Row],[Plain]]</f>
        <v>60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46105.791666666431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197791</v>
      </c>
      <c r="W101" s="215"/>
      <c r="X101" s="94">
        <f ca="1">ROUND( (1-MIN(ROUND(facs_rezone_factor*TblRezone[[#This Row],[Facs]],4),facs_rezone_max) + tech_6_4*TblTech[[#This Row],[6-4]] + tech_10_2*TblTech[[#This Row],[10-2]] - IF(TblMagic[[#This Row],[Active Mechanical Genius]]&gt;0,mech_genius_bonus,0) + race_rezone_cost) * TblRezone[[#This Row],[Plat/acre*]],0)</f>
        <v>166</v>
      </c>
      <c r="Y101" s="94">
        <f ca="1">TblRezone[[#This Row],[Total acres]]*TblRezone[[#This Row],[Plat/acre]]</f>
        <v>0</v>
      </c>
      <c r="Z101" s="215"/>
      <c r="AA101" s="94">
        <f ca="1">(250+0.6*(TblRezone[[#This Row],[Land]]-250))</f>
        <v>166</v>
      </c>
      <c r="AB101" s="215"/>
      <c r="AC101" s="157">
        <f ca="1">TblConstr[[#This Row],[Facs DB]]</f>
        <v>0</v>
      </c>
    </row>
    <row r="102" spans="1:29" x14ac:dyDescent="0.2">
      <c r="A102" s="214">
        <f ca="1">TblConstr[[#This Row],[Land]]</f>
        <v>110</v>
      </c>
      <c r="B102" s="216">
        <f ca="1">TblConstr[[#This Row],[Plain]]</f>
        <v>60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46105.833333333096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198814</v>
      </c>
      <c r="W102" s="215"/>
      <c r="X102" s="94">
        <f ca="1">ROUND( (1-MIN(ROUND(facs_rezone_factor*TblRezone[[#This Row],[Facs]],4),facs_rezone_max) + tech_6_4*TblTech[[#This Row],[6-4]] + tech_10_2*TblTech[[#This Row],[10-2]] - IF(TblMagic[[#This Row],[Active Mechanical Genius]]&gt;0,mech_genius_bonus,0) + race_rezone_cost) * TblRezone[[#This Row],[Plat/acre*]],0)</f>
        <v>166</v>
      </c>
      <c r="Y102" s="94">
        <f ca="1">TblRezone[[#This Row],[Total acres]]*TblRezone[[#This Row],[Plat/acre]]</f>
        <v>0</v>
      </c>
      <c r="Z102" s="215"/>
      <c r="AA102" s="94">
        <f ca="1">(250+0.6*(TblRezone[[#This Row],[Land]]-250))</f>
        <v>166</v>
      </c>
      <c r="AB102" s="215"/>
      <c r="AC102" s="157">
        <f ca="1">TblConstr[[#This Row],[Facs DB]]</f>
        <v>0</v>
      </c>
    </row>
    <row r="103" spans="1:29" x14ac:dyDescent="0.2">
      <c r="A103" s="214">
        <f ca="1">TblConstr[[#This Row],[Land]]</f>
        <v>110</v>
      </c>
      <c r="B103" s="216">
        <f ca="1">TblConstr[[#This Row],[Plain]]</f>
        <v>60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46105.87499999976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199826</v>
      </c>
      <c r="W103" s="215"/>
      <c r="X103" s="94">
        <f ca="1">ROUND( (1-MIN(ROUND(facs_rezone_factor*TblRezone[[#This Row],[Facs]],4),facs_rezone_max) + tech_6_4*TblTech[[#This Row],[6-4]] + tech_10_2*TblTech[[#This Row],[10-2]] - IF(TblMagic[[#This Row],[Active Mechanical Genius]]&gt;0,mech_genius_bonus,0) + race_rezone_cost) * TblRezone[[#This Row],[Plat/acre*]],0)</f>
        <v>166</v>
      </c>
      <c r="Y103" s="94">
        <f ca="1">TblRezone[[#This Row],[Total acres]]*TblRezone[[#This Row],[Plat/acre]]</f>
        <v>0</v>
      </c>
      <c r="Z103" s="215"/>
      <c r="AA103" s="94">
        <f ca="1">(250+0.6*(TblRezone[[#This Row],[Land]]-250))</f>
        <v>166</v>
      </c>
      <c r="AB103" s="215"/>
      <c r="AC103" s="157">
        <f ca="1">TblConstr[[#This Row],[Facs DB]]</f>
        <v>0</v>
      </c>
    </row>
    <row r="104" spans="1:29" x14ac:dyDescent="0.2">
      <c r="A104" s="214">
        <f ca="1">TblConstr[[#This Row],[Land]]</f>
        <v>110</v>
      </c>
      <c r="B104" s="216">
        <f ca="1">TblConstr[[#This Row],[Plain]]</f>
        <v>60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46105.916666666424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200827</v>
      </c>
      <c r="W104" s="215"/>
      <c r="X104" s="94">
        <f ca="1">ROUND( (1-MIN(ROUND(facs_rezone_factor*TblRezone[[#This Row],[Facs]],4),facs_rezone_max) + tech_6_4*TblTech[[#This Row],[6-4]] + tech_10_2*TblTech[[#This Row],[10-2]] - IF(TblMagic[[#This Row],[Active Mechanical Genius]]&gt;0,mech_genius_bonus,0) + race_rezone_cost) * TblRezone[[#This Row],[Plat/acre*]],0)</f>
        <v>166</v>
      </c>
      <c r="Y104" s="94">
        <f ca="1">TblRezone[[#This Row],[Total acres]]*TblRezone[[#This Row],[Plat/acre]]</f>
        <v>0</v>
      </c>
      <c r="Z104" s="215"/>
      <c r="AA104" s="94">
        <f ca="1">(250+0.6*(TblRezone[[#This Row],[Land]]-250))</f>
        <v>166</v>
      </c>
      <c r="AB104" s="215"/>
      <c r="AC104" s="157">
        <f ca="1">TblConstr[[#This Row],[Facs DB]]</f>
        <v>0</v>
      </c>
    </row>
    <row r="105" spans="1:29" x14ac:dyDescent="0.2">
      <c r="A105" s="214">
        <f ca="1">TblConstr[[#This Row],[Land]]</f>
        <v>110</v>
      </c>
      <c r="B105" s="216">
        <f ca="1">TblConstr[[#This Row],[Plain]]</f>
        <v>60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46105.958333333088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201817</v>
      </c>
      <c r="W105" s="215"/>
      <c r="X105" s="94">
        <f ca="1">ROUND( (1-MIN(ROUND(facs_rezone_factor*TblRezone[[#This Row],[Facs]],4),facs_rezone_max) + tech_6_4*TblTech[[#This Row],[6-4]] + tech_10_2*TblTech[[#This Row],[10-2]] - IF(TblMagic[[#This Row],[Active Mechanical Genius]]&gt;0,mech_genius_bonus,0) + race_rezone_cost) * TblRezone[[#This Row],[Plat/acre*]],0)</f>
        <v>166</v>
      </c>
      <c r="Y105" s="94">
        <f ca="1">TblRezone[[#This Row],[Total acres]]*TblRezone[[#This Row],[Plat/acre]]</f>
        <v>0</v>
      </c>
      <c r="Z105" s="215"/>
      <c r="AA105" s="94">
        <f ca="1">(250+0.6*(TblRezone[[#This Row],[Land]]-250))</f>
        <v>166</v>
      </c>
      <c r="AB105" s="215"/>
      <c r="AC105" s="157">
        <f ca="1">TblConstr[[#This Row],[Facs DB]]</f>
        <v>0</v>
      </c>
    </row>
    <row r="106" spans="1:29" x14ac:dyDescent="0.2">
      <c r="A106" s="214">
        <f ca="1">TblConstr[[#This Row],[Land]]</f>
        <v>110</v>
      </c>
      <c r="B106" s="216">
        <f ca="1">TblConstr[[#This Row],[Plain]]</f>
        <v>60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46105.999999999753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202797</v>
      </c>
      <c r="W106" s="215"/>
      <c r="X106" s="94">
        <f ca="1">ROUND( (1-MIN(ROUND(facs_rezone_factor*TblRezone[[#This Row],[Facs]],4),facs_rezone_max) + tech_6_4*TblTech[[#This Row],[6-4]] + tech_10_2*TblTech[[#This Row],[10-2]] - IF(TblMagic[[#This Row],[Active Mechanical Genius]]&gt;0,mech_genius_bonus,0) + race_rezone_cost) * TblRezone[[#This Row],[Plat/acre*]],0)</f>
        <v>166</v>
      </c>
      <c r="Y106" s="94">
        <f ca="1">TblRezone[[#This Row],[Total acres]]*TblRezone[[#This Row],[Plat/acre]]</f>
        <v>0</v>
      </c>
      <c r="Z106" s="215"/>
      <c r="AA106" s="94">
        <f ca="1">(250+0.6*(TblRezone[[#This Row],[Land]]-250))</f>
        <v>166</v>
      </c>
      <c r="AB106" s="215"/>
      <c r="AC106" s="157">
        <f ca="1">TblConstr[[#This Row],[Facs DB]]</f>
        <v>0</v>
      </c>
    </row>
    <row r="107" spans="1:29" x14ac:dyDescent="0.2">
      <c r="A107" s="214">
        <f ca="1">TblConstr[[#This Row],[Land]]</f>
        <v>110</v>
      </c>
      <c r="B107" s="216">
        <f ca="1">TblConstr[[#This Row],[Plain]]</f>
        <v>60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46106.041666666417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203766</v>
      </c>
      <c r="W107" s="215"/>
      <c r="X107" s="94">
        <f ca="1">ROUND( (1-MIN(ROUND(facs_rezone_factor*TblRezone[[#This Row],[Facs]],4),facs_rezone_max) + tech_6_4*TblTech[[#This Row],[6-4]] + tech_10_2*TblTech[[#This Row],[10-2]] - IF(TblMagic[[#This Row],[Active Mechanical Genius]]&gt;0,mech_genius_bonus,0) + race_rezone_cost) * TblRezone[[#This Row],[Plat/acre*]],0)</f>
        <v>166</v>
      </c>
      <c r="Y107" s="94">
        <f ca="1">TblRezone[[#This Row],[Total acres]]*TblRezone[[#This Row],[Plat/acre]]</f>
        <v>0</v>
      </c>
      <c r="Z107" s="215"/>
      <c r="AA107" s="94">
        <f ca="1">(250+0.6*(TblRezone[[#This Row],[Land]]-250))</f>
        <v>166</v>
      </c>
      <c r="AB107" s="215"/>
      <c r="AC107" s="157">
        <f ca="1">TblConstr[[#This Row],[Facs DB]]</f>
        <v>0</v>
      </c>
    </row>
    <row r="108" spans="1:29" x14ac:dyDescent="0.2">
      <c r="A108" s="214">
        <f ca="1">TblConstr[[#This Row],[Land]]</f>
        <v>110</v>
      </c>
      <c r="B108" s="216">
        <f ca="1">TblConstr[[#This Row],[Plain]]</f>
        <v>60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46106.083333333081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204724</v>
      </c>
      <c r="W108" s="215"/>
      <c r="X108" s="94">
        <f ca="1">ROUND( (1-MIN(ROUND(facs_rezone_factor*TblRezone[[#This Row],[Facs]],4),facs_rezone_max) + tech_6_4*TblTech[[#This Row],[6-4]] + tech_10_2*TblTech[[#This Row],[10-2]] - IF(TblMagic[[#This Row],[Active Mechanical Genius]]&gt;0,mech_genius_bonus,0) + race_rezone_cost) * TblRezone[[#This Row],[Plat/acre*]],0)</f>
        <v>166</v>
      </c>
      <c r="Y108" s="94">
        <f ca="1">TblRezone[[#This Row],[Total acres]]*TblRezone[[#This Row],[Plat/acre]]</f>
        <v>0</v>
      </c>
      <c r="Z108" s="215"/>
      <c r="AA108" s="94">
        <f ca="1">(250+0.6*(TblRezone[[#This Row],[Land]]-250))</f>
        <v>166</v>
      </c>
      <c r="AB108" s="215"/>
      <c r="AC108" s="157">
        <f ca="1">TblConstr[[#This Row],[Facs DB]]</f>
        <v>0</v>
      </c>
    </row>
    <row r="109" spans="1:29" x14ac:dyDescent="0.2">
      <c r="A109" s="214">
        <f ca="1">TblConstr[[#This Row],[Land]]</f>
        <v>110</v>
      </c>
      <c r="B109" s="216">
        <f ca="1">TblConstr[[#This Row],[Plain]]</f>
        <v>60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46106.124999999745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205671</v>
      </c>
      <c r="W109" s="215"/>
      <c r="X109" s="94">
        <f ca="1">ROUND( (1-MIN(ROUND(facs_rezone_factor*TblRezone[[#This Row],[Facs]],4),facs_rezone_max) + tech_6_4*TblTech[[#This Row],[6-4]] + tech_10_2*TblTech[[#This Row],[10-2]] - IF(TblMagic[[#This Row],[Active Mechanical Genius]]&gt;0,mech_genius_bonus,0) + race_rezone_cost) * TblRezone[[#This Row],[Plat/acre*]],0)</f>
        <v>166</v>
      </c>
      <c r="Y109" s="94">
        <f ca="1">TblRezone[[#This Row],[Total acres]]*TblRezone[[#This Row],[Plat/acre]]</f>
        <v>0</v>
      </c>
      <c r="Z109" s="215"/>
      <c r="AA109" s="94">
        <f ca="1">(250+0.6*(TblRezone[[#This Row],[Land]]-250))</f>
        <v>166</v>
      </c>
      <c r="AB109" s="215"/>
      <c r="AC109" s="157">
        <f ca="1">TblConstr[[#This Row],[Facs DB]]</f>
        <v>0</v>
      </c>
    </row>
    <row r="110" spans="1:29" x14ac:dyDescent="0.2">
      <c r="A110" s="214">
        <f ca="1">TblConstr[[#This Row],[Land]]</f>
        <v>110</v>
      </c>
      <c r="B110" s="216">
        <f ca="1">TblConstr[[#This Row],[Plain]]</f>
        <v>60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46106.16666666641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206607</v>
      </c>
      <c r="W110" s="215"/>
      <c r="X110" s="94">
        <f ca="1">ROUND( (1-MIN(ROUND(facs_rezone_factor*TblRezone[[#This Row],[Facs]],4),facs_rezone_max) + tech_6_4*TblTech[[#This Row],[6-4]] + tech_10_2*TblTech[[#This Row],[10-2]] - IF(TblMagic[[#This Row],[Active Mechanical Genius]]&gt;0,mech_genius_bonus,0) + race_rezone_cost) * TblRezone[[#This Row],[Plat/acre*]],0)</f>
        <v>166</v>
      </c>
      <c r="Y110" s="94">
        <f ca="1">TblRezone[[#This Row],[Total acres]]*TblRezone[[#This Row],[Plat/acre]]</f>
        <v>0</v>
      </c>
      <c r="Z110" s="215"/>
      <c r="AA110" s="94">
        <f ca="1">(250+0.6*(TblRezone[[#This Row],[Land]]-250))</f>
        <v>166</v>
      </c>
      <c r="AB110" s="215"/>
      <c r="AC110" s="157">
        <f ca="1">TblConstr[[#This Row],[Facs DB]]</f>
        <v>0</v>
      </c>
    </row>
    <row r="111" spans="1:29" x14ac:dyDescent="0.2">
      <c r="A111" s="214">
        <f ca="1">TblConstr[[#This Row],[Land]]</f>
        <v>110</v>
      </c>
      <c r="B111" s="216">
        <f ca="1">TblConstr[[#This Row],[Plain]]</f>
        <v>60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46106.208333333074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207535</v>
      </c>
      <c r="W111" s="215"/>
      <c r="X111" s="94">
        <f ca="1">ROUND( (1-MIN(ROUND(facs_rezone_factor*TblRezone[[#This Row],[Facs]],4),facs_rezone_max) + tech_6_4*TblTech[[#This Row],[6-4]] + tech_10_2*TblTech[[#This Row],[10-2]] - IF(TblMagic[[#This Row],[Active Mechanical Genius]]&gt;0,mech_genius_bonus,0) + race_rezone_cost) * TblRezone[[#This Row],[Plat/acre*]],0)</f>
        <v>166</v>
      </c>
      <c r="Y111" s="94">
        <f ca="1">TblRezone[[#This Row],[Total acres]]*TblRezone[[#This Row],[Plat/acre]]</f>
        <v>0</v>
      </c>
      <c r="Z111" s="215"/>
      <c r="AA111" s="94">
        <f ca="1">(250+0.6*(TblRezone[[#This Row],[Land]]-250))</f>
        <v>166</v>
      </c>
      <c r="AB111" s="215"/>
      <c r="AC111" s="157">
        <f ca="1">TblConstr[[#This Row],[Facs DB]]</f>
        <v>0</v>
      </c>
    </row>
    <row r="112" spans="1:29" x14ac:dyDescent="0.2">
      <c r="A112" s="214">
        <f ca="1">TblConstr[[#This Row],[Land]]</f>
        <v>110</v>
      </c>
      <c r="B112" s="216">
        <f ca="1">TblConstr[[#This Row],[Plain]]</f>
        <v>60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46106.249999999738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208455</v>
      </c>
      <c r="W112" s="215"/>
      <c r="X112" s="94">
        <f ca="1">ROUND( (1-MIN(ROUND(facs_rezone_factor*TblRezone[[#This Row],[Facs]],4),facs_rezone_max) + tech_6_4*TblTech[[#This Row],[6-4]] + tech_10_2*TblTech[[#This Row],[10-2]] - IF(TblMagic[[#This Row],[Active Mechanical Genius]]&gt;0,mech_genius_bonus,0) + race_rezone_cost) * TblRezone[[#This Row],[Plat/acre*]],0)</f>
        <v>166</v>
      </c>
      <c r="Y112" s="94">
        <f ca="1">TblRezone[[#This Row],[Total acres]]*TblRezone[[#This Row],[Plat/acre]]</f>
        <v>0</v>
      </c>
      <c r="Z112" s="215"/>
      <c r="AA112" s="94">
        <f ca="1">(250+0.6*(TblRezone[[#This Row],[Land]]-250))</f>
        <v>166</v>
      </c>
      <c r="AB112" s="215"/>
      <c r="AC112" s="157">
        <f ca="1">TblConstr[[#This Row],[Facs DB]]</f>
        <v>0</v>
      </c>
    </row>
    <row r="113" spans="1:29" x14ac:dyDescent="0.2">
      <c r="A113" s="214">
        <f ca="1">TblConstr[[#This Row],[Land]]</f>
        <v>110</v>
      </c>
      <c r="B113" s="216">
        <f ca="1">TblConstr[[#This Row],[Plain]]</f>
        <v>60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46106.291666666402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209367</v>
      </c>
      <c r="W113" s="215"/>
      <c r="X113" s="94">
        <f ca="1">ROUND( (1-MIN(ROUND(facs_rezone_factor*TblRezone[[#This Row],[Facs]],4),facs_rezone_max) + tech_6_4*TblTech[[#This Row],[6-4]] + tech_10_2*TblTech[[#This Row],[10-2]] - IF(TblMagic[[#This Row],[Active Mechanical Genius]]&gt;0,mech_genius_bonus,0) + race_rezone_cost) * TblRezone[[#This Row],[Plat/acre*]],0)</f>
        <v>166</v>
      </c>
      <c r="Y113" s="94">
        <f ca="1">TblRezone[[#This Row],[Total acres]]*TblRezone[[#This Row],[Plat/acre]]</f>
        <v>0</v>
      </c>
      <c r="Z113" s="215"/>
      <c r="AA113" s="94">
        <f ca="1">(250+0.6*(TblRezone[[#This Row],[Land]]-250))</f>
        <v>166</v>
      </c>
      <c r="AB113" s="215"/>
      <c r="AC113" s="157">
        <f ca="1">TblConstr[[#This Row],[Facs DB]]</f>
        <v>0</v>
      </c>
    </row>
    <row r="114" spans="1:29" x14ac:dyDescent="0.2">
      <c r="A114" s="214">
        <f ca="1">TblConstr[[#This Row],[Land]]</f>
        <v>110</v>
      </c>
      <c r="B114" s="216">
        <f ca="1">TblConstr[[#This Row],[Plain]]</f>
        <v>60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46106.333333333067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210271</v>
      </c>
      <c r="W114" s="215"/>
      <c r="X114" s="94">
        <f ca="1">ROUND( (1-MIN(ROUND(facs_rezone_factor*TblRezone[[#This Row],[Facs]],4),facs_rezone_max) + tech_6_4*TblTech[[#This Row],[6-4]] + tech_10_2*TblTech[[#This Row],[10-2]] - IF(TblMagic[[#This Row],[Active Mechanical Genius]]&gt;0,mech_genius_bonus,0) + race_rezone_cost) * TblRezone[[#This Row],[Plat/acre*]],0)</f>
        <v>166</v>
      </c>
      <c r="Y114" s="94">
        <f ca="1">TblRezone[[#This Row],[Total acres]]*TblRezone[[#This Row],[Plat/acre]]</f>
        <v>0</v>
      </c>
      <c r="Z114" s="215"/>
      <c r="AA114" s="94">
        <f ca="1">(250+0.6*(TblRezone[[#This Row],[Land]]-250))</f>
        <v>166</v>
      </c>
      <c r="AB114" s="215"/>
      <c r="AC114" s="157">
        <f ca="1">TblConstr[[#This Row],[Facs DB]]</f>
        <v>0</v>
      </c>
    </row>
    <row r="115" spans="1:29" x14ac:dyDescent="0.2">
      <c r="A115" s="214">
        <f ca="1">TblConstr[[#This Row],[Land]]</f>
        <v>110</v>
      </c>
      <c r="B115" s="216">
        <f ca="1">TblConstr[[#This Row],[Plain]]</f>
        <v>60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46106.374999999731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211167</v>
      </c>
      <c r="W115" s="215"/>
      <c r="X115" s="94">
        <f ca="1">ROUND( (1-MIN(ROUND(facs_rezone_factor*TblRezone[[#This Row],[Facs]],4),facs_rezone_max) + tech_6_4*TblTech[[#This Row],[6-4]] + tech_10_2*TblTech[[#This Row],[10-2]] - IF(TblMagic[[#This Row],[Active Mechanical Genius]]&gt;0,mech_genius_bonus,0) + race_rezone_cost) * TblRezone[[#This Row],[Plat/acre*]],0)</f>
        <v>166</v>
      </c>
      <c r="Y115" s="94">
        <f ca="1">TblRezone[[#This Row],[Total acres]]*TblRezone[[#This Row],[Plat/acre]]</f>
        <v>0</v>
      </c>
      <c r="Z115" s="215"/>
      <c r="AA115" s="94">
        <f ca="1">(250+0.6*(TblRezone[[#This Row],[Land]]-250))</f>
        <v>166</v>
      </c>
      <c r="AB115" s="215"/>
      <c r="AC115" s="157">
        <f ca="1">TblConstr[[#This Row],[Facs DB]]</f>
        <v>0</v>
      </c>
    </row>
    <row r="116" spans="1:29" x14ac:dyDescent="0.2">
      <c r="A116" s="214">
        <f ca="1">TblConstr[[#This Row],[Land]]</f>
        <v>110</v>
      </c>
      <c r="B116" s="216">
        <f ca="1">TblConstr[[#This Row],[Plain]]</f>
        <v>60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46106.416666666395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212055</v>
      </c>
      <c r="W116" s="215"/>
      <c r="X116" s="94">
        <f ca="1">ROUND( (1-MIN(ROUND(facs_rezone_factor*TblRezone[[#This Row],[Facs]],4),facs_rezone_max) + tech_6_4*TblTech[[#This Row],[6-4]] + tech_10_2*TblTech[[#This Row],[10-2]] - IF(TblMagic[[#This Row],[Active Mechanical Genius]]&gt;0,mech_genius_bonus,0) + race_rezone_cost) * TblRezone[[#This Row],[Plat/acre*]],0)</f>
        <v>166</v>
      </c>
      <c r="Y116" s="94">
        <f ca="1">TblRezone[[#This Row],[Total acres]]*TblRezone[[#This Row],[Plat/acre]]</f>
        <v>0</v>
      </c>
      <c r="Z116" s="215"/>
      <c r="AA116" s="94">
        <f ca="1">(250+0.6*(TblRezone[[#This Row],[Land]]-250))</f>
        <v>166</v>
      </c>
      <c r="AB116" s="215"/>
      <c r="AC116" s="157">
        <f ca="1">TblConstr[[#This Row],[Facs DB]]</f>
        <v>0</v>
      </c>
    </row>
    <row r="117" spans="1:29" x14ac:dyDescent="0.2">
      <c r="A117" s="214">
        <f ca="1">TblConstr[[#This Row],[Land]]</f>
        <v>110</v>
      </c>
      <c r="B117" s="216">
        <f ca="1">TblConstr[[#This Row],[Plain]]</f>
        <v>60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46106.458333333059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212935</v>
      </c>
      <c r="W117" s="215"/>
      <c r="X117" s="94">
        <f ca="1">ROUND( (1-MIN(ROUND(facs_rezone_factor*TblRezone[[#This Row],[Facs]],4),facs_rezone_max) + tech_6_4*TblTech[[#This Row],[6-4]] + tech_10_2*TblTech[[#This Row],[10-2]] - IF(TblMagic[[#This Row],[Active Mechanical Genius]]&gt;0,mech_genius_bonus,0) + race_rezone_cost) * TblRezone[[#This Row],[Plat/acre*]],0)</f>
        <v>166</v>
      </c>
      <c r="Y117" s="94">
        <f ca="1">TblRezone[[#This Row],[Total acres]]*TblRezone[[#This Row],[Plat/acre]]</f>
        <v>0</v>
      </c>
      <c r="Z117" s="215"/>
      <c r="AA117" s="94">
        <f ca="1">(250+0.6*(TblRezone[[#This Row],[Land]]-250))</f>
        <v>166</v>
      </c>
      <c r="AB117" s="215"/>
      <c r="AC117" s="157">
        <f ca="1">TblConstr[[#This Row],[Facs DB]]</f>
        <v>0</v>
      </c>
    </row>
    <row r="118" spans="1:29" x14ac:dyDescent="0.2">
      <c r="A118" s="214">
        <f ca="1">TblConstr[[#This Row],[Land]]</f>
        <v>110</v>
      </c>
      <c r="B118" s="216">
        <f ca="1">TblConstr[[#This Row],[Plain]]</f>
        <v>60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46106.499999999724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213807</v>
      </c>
      <c r="W118" s="215"/>
      <c r="X118" s="94">
        <f ca="1">ROUND( (1-MIN(ROUND(facs_rezone_factor*TblRezone[[#This Row],[Facs]],4),facs_rezone_max) + tech_6_4*TblTech[[#This Row],[6-4]] + tech_10_2*TblTech[[#This Row],[10-2]] - IF(TblMagic[[#This Row],[Active Mechanical Genius]]&gt;0,mech_genius_bonus,0) + race_rezone_cost) * TblRezone[[#This Row],[Plat/acre*]],0)</f>
        <v>166</v>
      </c>
      <c r="Y118" s="94">
        <f ca="1">TblRezone[[#This Row],[Total acres]]*TblRezone[[#This Row],[Plat/acre]]</f>
        <v>0</v>
      </c>
      <c r="Z118" s="215"/>
      <c r="AA118" s="94">
        <f ca="1">(250+0.6*(TblRezone[[#This Row],[Land]]-250))</f>
        <v>166</v>
      </c>
      <c r="AB118" s="215"/>
      <c r="AC118" s="157">
        <f ca="1">TblConstr[[#This Row],[Facs DB]]</f>
        <v>0</v>
      </c>
    </row>
    <row r="119" spans="1:29" x14ac:dyDescent="0.2">
      <c r="A119" s="214">
        <f ca="1">TblConstr[[#This Row],[Land]]</f>
        <v>110</v>
      </c>
      <c r="B119" s="216">
        <f ca="1">TblConstr[[#This Row],[Plain]]</f>
        <v>60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46106.541666666388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214671</v>
      </c>
      <c r="W119" s="215"/>
      <c r="X119" s="94">
        <f ca="1">ROUND( (1-MIN(ROUND(facs_rezone_factor*TblRezone[[#This Row],[Facs]],4),facs_rezone_max) + tech_6_4*TblTech[[#This Row],[6-4]] + tech_10_2*TblTech[[#This Row],[10-2]] - IF(TblMagic[[#This Row],[Active Mechanical Genius]]&gt;0,mech_genius_bonus,0) + race_rezone_cost) * TblRezone[[#This Row],[Plat/acre*]],0)</f>
        <v>166</v>
      </c>
      <c r="Y119" s="94">
        <f ca="1">TblRezone[[#This Row],[Total acres]]*TblRezone[[#This Row],[Plat/acre]]</f>
        <v>0</v>
      </c>
      <c r="Z119" s="215"/>
      <c r="AA119" s="94">
        <f ca="1">(250+0.6*(TblRezone[[#This Row],[Land]]-250))</f>
        <v>166</v>
      </c>
      <c r="AB119" s="215"/>
      <c r="AC119" s="157">
        <f ca="1">TblConstr[[#This Row],[Facs DB]]</f>
        <v>0</v>
      </c>
    </row>
    <row r="120" spans="1:29" x14ac:dyDescent="0.2">
      <c r="A120" s="214">
        <f ca="1">TblConstr[[#This Row],[Land]]</f>
        <v>110</v>
      </c>
      <c r="B120" s="216">
        <f ca="1">TblConstr[[#This Row],[Plain]]</f>
        <v>60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46106.583333333052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215526</v>
      </c>
      <c r="W120" s="215"/>
      <c r="X120" s="94">
        <f ca="1">ROUND( (1-MIN(ROUND(facs_rezone_factor*TblRezone[[#This Row],[Facs]],4),facs_rezone_max) + tech_6_4*TblTech[[#This Row],[6-4]] + tech_10_2*TblTech[[#This Row],[10-2]] - IF(TblMagic[[#This Row],[Active Mechanical Genius]]&gt;0,mech_genius_bonus,0) + race_rezone_cost) * TblRezone[[#This Row],[Plat/acre*]],0)</f>
        <v>166</v>
      </c>
      <c r="Y120" s="94">
        <f ca="1">TblRezone[[#This Row],[Total acres]]*TblRezone[[#This Row],[Plat/acre]]</f>
        <v>0</v>
      </c>
      <c r="Z120" s="215"/>
      <c r="AA120" s="94">
        <f ca="1">(250+0.6*(TblRezone[[#This Row],[Land]]-250))</f>
        <v>166</v>
      </c>
      <c r="AB120" s="215"/>
      <c r="AC120" s="157">
        <f ca="1">TblConstr[[#This Row],[Facs DB]]</f>
        <v>0</v>
      </c>
    </row>
    <row r="121" spans="1:29" x14ac:dyDescent="0.2">
      <c r="A121" s="214">
        <f ca="1">TblConstr[[#This Row],[Land]]</f>
        <v>110</v>
      </c>
      <c r="B121" s="216">
        <f ca="1">TblConstr[[#This Row],[Plain]]</f>
        <v>60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46106.624999999716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216373</v>
      </c>
      <c r="W121" s="215"/>
      <c r="X121" s="94">
        <f ca="1">ROUND( (1-MIN(ROUND(facs_rezone_factor*TblRezone[[#This Row],[Facs]],4),facs_rezone_max) + tech_6_4*TblTech[[#This Row],[6-4]] + tech_10_2*TblTech[[#This Row],[10-2]] - IF(TblMagic[[#This Row],[Active Mechanical Genius]]&gt;0,mech_genius_bonus,0) + race_rezone_cost) * TblRezone[[#This Row],[Plat/acre*]],0)</f>
        <v>166</v>
      </c>
      <c r="Y121" s="94">
        <f ca="1">TblRezone[[#This Row],[Total acres]]*TblRezone[[#This Row],[Plat/acre]]</f>
        <v>0</v>
      </c>
      <c r="Z121" s="215"/>
      <c r="AA121" s="94">
        <f ca="1">(250+0.6*(TblRezone[[#This Row],[Land]]-250))</f>
        <v>166</v>
      </c>
      <c r="AB121" s="215"/>
      <c r="AC121" s="157">
        <f ca="1">TblConstr[[#This Row],[Facs DB]]</f>
        <v>0</v>
      </c>
    </row>
    <row r="122" spans="1:29" x14ac:dyDescent="0.2">
      <c r="A122" s="214">
        <f ca="1">TblConstr[[#This Row],[Land]]</f>
        <v>110</v>
      </c>
      <c r="B122" s="216">
        <f ca="1">TblConstr[[#This Row],[Plain]]</f>
        <v>60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46106.66666666638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217212</v>
      </c>
      <c r="W122" s="215"/>
      <c r="X122" s="94">
        <f ca="1">ROUND( (1-MIN(ROUND(facs_rezone_factor*TblRezone[[#This Row],[Facs]],4),facs_rezone_max) + tech_6_4*TblTech[[#This Row],[6-4]] + tech_10_2*TblTech[[#This Row],[10-2]] - IF(TblMagic[[#This Row],[Active Mechanical Genius]]&gt;0,mech_genius_bonus,0) + race_rezone_cost) * TblRezone[[#This Row],[Plat/acre*]],0)</f>
        <v>166</v>
      </c>
      <c r="Y122" s="94">
        <f ca="1">TblRezone[[#This Row],[Total acres]]*TblRezone[[#This Row],[Plat/acre]]</f>
        <v>0</v>
      </c>
      <c r="Z122" s="215"/>
      <c r="AA122" s="94">
        <f ca="1">(250+0.6*(TblRezone[[#This Row],[Land]]-250))</f>
        <v>166</v>
      </c>
      <c r="AB122" s="215"/>
      <c r="AC122" s="157">
        <f ca="1">TblConstr[[#This Row],[Facs DB]]</f>
        <v>0</v>
      </c>
    </row>
    <row r="123" spans="1:29" x14ac:dyDescent="0.2">
      <c r="A123" s="214">
        <f ca="1">TblConstr[[#This Row],[Land]]</f>
        <v>110</v>
      </c>
      <c r="B123" s="216">
        <f ca="1">TblConstr[[#This Row],[Plain]]</f>
        <v>60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46106.708333333045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218043</v>
      </c>
      <c r="W123" s="215"/>
      <c r="X123" s="94">
        <f ca="1">ROUND( (1-MIN(ROUND(facs_rezone_factor*TblRezone[[#This Row],[Facs]],4),facs_rezone_max) + tech_6_4*TblTech[[#This Row],[6-4]] + tech_10_2*TblTech[[#This Row],[10-2]] - IF(TblMagic[[#This Row],[Active Mechanical Genius]]&gt;0,mech_genius_bonus,0) + race_rezone_cost) * TblRezone[[#This Row],[Plat/acre*]],0)</f>
        <v>166</v>
      </c>
      <c r="Y123" s="94">
        <f ca="1">TblRezone[[#This Row],[Total acres]]*TblRezone[[#This Row],[Plat/acre]]</f>
        <v>0</v>
      </c>
      <c r="Z123" s="215"/>
      <c r="AA123" s="94">
        <f ca="1">(250+0.6*(TblRezone[[#This Row],[Land]]-250))</f>
        <v>166</v>
      </c>
      <c r="AB123" s="215"/>
      <c r="AC123" s="157">
        <f ca="1">TblConstr[[#This Row],[Facs DB]]</f>
        <v>0</v>
      </c>
    </row>
    <row r="124" spans="1:29" x14ac:dyDescent="0.2">
      <c r="A124" s="214">
        <f ca="1">TblConstr[[#This Row],[Land]]</f>
        <v>110</v>
      </c>
      <c r="B124" s="216">
        <f ca="1">TblConstr[[#This Row],[Plain]]</f>
        <v>60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46106.749999999709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218866</v>
      </c>
      <c r="W124" s="215"/>
      <c r="X124" s="94">
        <f ca="1">ROUND( (1-MIN(ROUND(facs_rezone_factor*TblRezone[[#This Row],[Facs]],4),facs_rezone_max) + tech_6_4*TblTech[[#This Row],[6-4]] + tech_10_2*TblTech[[#This Row],[10-2]] - IF(TblMagic[[#This Row],[Active Mechanical Genius]]&gt;0,mech_genius_bonus,0) + race_rezone_cost) * TblRezone[[#This Row],[Plat/acre*]],0)</f>
        <v>166</v>
      </c>
      <c r="Y124" s="94">
        <f ca="1">TblRezone[[#This Row],[Total acres]]*TblRezone[[#This Row],[Plat/acre]]</f>
        <v>0</v>
      </c>
      <c r="Z124" s="215"/>
      <c r="AA124" s="94">
        <f ca="1">(250+0.6*(TblRezone[[#This Row],[Land]]-250))</f>
        <v>166</v>
      </c>
      <c r="AB124" s="215"/>
      <c r="AC124" s="157">
        <f ca="1">TblConstr[[#This Row],[Facs DB]]</f>
        <v>0</v>
      </c>
    </row>
    <row r="125" spans="1:29" x14ac:dyDescent="0.2">
      <c r="A125" s="214">
        <f ca="1">TblConstr[[#This Row],[Land]]</f>
        <v>110</v>
      </c>
      <c r="B125" s="216">
        <f ca="1">TblConstr[[#This Row],[Plain]]</f>
        <v>60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46106.791666666373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219681</v>
      </c>
      <c r="W125" s="215"/>
      <c r="X125" s="94">
        <f ca="1">ROUND( (1-MIN(ROUND(facs_rezone_factor*TblRezone[[#This Row],[Facs]],4),facs_rezone_max) + tech_6_4*TblTech[[#This Row],[6-4]] + tech_10_2*TblTech[[#This Row],[10-2]] - IF(TblMagic[[#This Row],[Active Mechanical Genius]]&gt;0,mech_genius_bonus,0) + race_rezone_cost) * TblRezone[[#This Row],[Plat/acre*]],0)</f>
        <v>166</v>
      </c>
      <c r="Y125" s="94">
        <f ca="1">TblRezone[[#This Row],[Total acres]]*TblRezone[[#This Row],[Plat/acre]]</f>
        <v>0</v>
      </c>
      <c r="Z125" s="215"/>
      <c r="AA125" s="94">
        <f ca="1">(250+0.6*(TblRezone[[#This Row],[Land]]-250))</f>
        <v>166</v>
      </c>
      <c r="AB125" s="215"/>
      <c r="AC125" s="157">
        <f ca="1">TblConstr[[#This Row],[Facs DB]]</f>
        <v>0</v>
      </c>
    </row>
    <row r="126" spans="1:29" x14ac:dyDescent="0.2">
      <c r="A126" s="214">
        <f ca="1">TblConstr[[#This Row],[Land]]</f>
        <v>110</v>
      </c>
      <c r="B126" s="216">
        <f ca="1">TblConstr[[#This Row],[Plain]]</f>
        <v>60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46106.833333333037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220488</v>
      </c>
      <c r="W126" s="215"/>
      <c r="X126" s="94">
        <f ca="1">ROUND( (1-MIN(ROUND(facs_rezone_factor*TblRezone[[#This Row],[Facs]],4),facs_rezone_max) + tech_6_4*TblTech[[#This Row],[6-4]] + tech_10_2*TblTech[[#This Row],[10-2]] - IF(TblMagic[[#This Row],[Active Mechanical Genius]]&gt;0,mech_genius_bonus,0) + race_rezone_cost) * TblRezone[[#This Row],[Plat/acre*]],0)</f>
        <v>166</v>
      </c>
      <c r="Y126" s="94">
        <f ca="1">TblRezone[[#This Row],[Total acres]]*TblRezone[[#This Row],[Plat/acre]]</f>
        <v>0</v>
      </c>
      <c r="Z126" s="215"/>
      <c r="AA126" s="94">
        <f ca="1">(250+0.6*(TblRezone[[#This Row],[Land]]-250))</f>
        <v>166</v>
      </c>
      <c r="AB126" s="215"/>
      <c r="AC126" s="157">
        <f ca="1">TblConstr[[#This Row],[Facs DB]]</f>
        <v>0</v>
      </c>
    </row>
    <row r="127" spans="1:29" x14ac:dyDescent="0.2">
      <c r="A127" s="214">
        <f ca="1">TblConstr[[#This Row],[Land]]</f>
        <v>110</v>
      </c>
      <c r="B127" s="216">
        <f ca="1">TblConstr[[#This Row],[Plain]]</f>
        <v>60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46106.874999999702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221287</v>
      </c>
      <c r="W127" s="215"/>
      <c r="X127" s="94">
        <f ca="1">ROUND( (1-MIN(ROUND(facs_rezone_factor*TblRezone[[#This Row],[Facs]],4),facs_rezone_max) + tech_6_4*TblTech[[#This Row],[6-4]] + tech_10_2*TblTech[[#This Row],[10-2]] - IF(TblMagic[[#This Row],[Active Mechanical Genius]]&gt;0,mech_genius_bonus,0) + race_rezone_cost) * TblRezone[[#This Row],[Plat/acre*]],0)</f>
        <v>166</v>
      </c>
      <c r="Y127" s="94">
        <f ca="1">TblRezone[[#This Row],[Total acres]]*TblRezone[[#This Row],[Plat/acre]]</f>
        <v>0</v>
      </c>
      <c r="Z127" s="215"/>
      <c r="AA127" s="94">
        <f ca="1">(250+0.6*(TblRezone[[#This Row],[Land]]-250))</f>
        <v>166</v>
      </c>
      <c r="AB127" s="215"/>
      <c r="AC127" s="157">
        <f ca="1">TblConstr[[#This Row],[Facs DB]]</f>
        <v>0</v>
      </c>
    </row>
    <row r="128" spans="1:29" x14ac:dyDescent="0.2">
      <c r="A128" s="214">
        <f ca="1">TblConstr[[#This Row],[Land]]</f>
        <v>110</v>
      </c>
      <c r="B128" s="216">
        <f ca="1">TblConstr[[#This Row],[Plain]]</f>
        <v>60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46106.916666666366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222078</v>
      </c>
      <c r="W128" s="215"/>
      <c r="X128" s="94">
        <f ca="1">ROUND( (1-MIN(ROUND(facs_rezone_factor*TblRezone[[#This Row],[Facs]],4),facs_rezone_max) + tech_6_4*TblTech[[#This Row],[6-4]] + tech_10_2*TblTech[[#This Row],[10-2]] - IF(TblMagic[[#This Row],[Active Mechanical Genius]]&gt;0,mech_genius_bonus,0) + race_rezone_cost) * TblRezone[[#This Row],[Plat/acre*]],0)</f>
        <v>166</v>
      </c>
      <c r="Y128" s="94">
        <f ca="1">TblRezone[[#This Row],[Total acres]]*TblRezone[[#This Row],[Plat/acre]]</f>
        <v>0</v>
      </c>
      <c r="Z128" s="215"/>
      <c r="AA128" s="94">
        <f ca="1">(250+0.6*(TblRezone[[#This Row],[Land]]-250))</f>
        <v>166</v>
      </c>
      <c r="AB128" s="215"/>
      <c r="AC128" s="157">
        <f ca="1">TblConstr[[#This Row],[Facs DB]]</f>
        <v>0</v>
      </c>
    </row>
    <row r="129" spans="1:29" x14ac:dyDescent="0.2">
      <c r="A129" s="214">
        <f ca="1">TblConstr[[#This Row],[Land]]</f>
        <v>110</v>
      </c>
      <c r="B129" s="216">
        <f ca="1">TblConstr[[#This Row],[Plain]]</f>
        <v>60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46106.95833333303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222861</v>
      </c>
      <c r="W129" s="215"/>
      <c r="X129" s="94">
        <f ca="1">ROUND( (1-MIN(ROUND(facs_rezone_factor*TblRezone[[#This Row],[Facs]],4),facs_rezone_max) + tech_6_4*TblTech[[#This Row],[6-4]] + tech_10_2*TblTech[[#This Row],[10-2]] - IF(TblMagic[[#This Row],[Active Mechanical Genius]]&gt;0,mech_genius_bonus,0) + race_rezone_cost) * TblRezone[[#This Row],[Plat/acre*]],0)</f>
        <v>166</v>
      </c>
      <c r="Y129" s="94">
        <f ca="1">TblRezone[[#This Row],[Total acres]]*TblRezone[[#This Row],[Plat/acre]]</f>
        <v>0</v>
      </c>
      <c r="Z129" s="215"/>
      <c r="AA129" s="94">
        <f ca="1">(250+0.6*(TblRezone[[#This Row],[Land]]-250))</f>
        <v>166</v>
      </c>
      <c r="AB129" s="215"/>
      <c r="AC129" s="157">
        <f ca="1">TblConstr[[#This Row],[Facs DB]]</f>
        <v>0</v>
      </c>
    </row>
    <row r="130" spans="1:29" x14ac:dyDescent="0.2">
      <c r="A130" s="214">
        <f ca="1">TblConstr[[#This Row],[Land]]</f>
        <v>110</v>
      </c>
      <c r="B130" s="216">
        <f ca="1">TblConstr[[#This Row],[Plain]]</f>
        <v>60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46106.999999999694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223635</v>
      </c>
      <c r="W130" s="215"/>
      <c r="X130" s="94">
        <f ca="1">ROUND( (1-MIN(ROUND(facs_rezone_factor*TblRezone[[#This Row],[Facs]],4),facs_rezone_max) + tech_6_4*TblTech[[#This Row],[6-4]] + tech_10_2*TblTech[[#This Row],[10-2]] - IF(TblMagic[[#This Row],[Active Mechanical Genius]]&gt;0,mech_genius_bonus,0) + race_rezone_cost) * TblRezone[[#This Row],[Plat/acre*]],0)</f>
        <v>166</v>
      </c>
      <c r="Y130" s="94">
        <f ca="1">TblRezone[[#This Row],[Total acres]]*TblRezone[[#This Row],[Plat/acre]]</f>
        <v>0</v>
      </c>
      <c r="Z130" s="215"/>
      <c r="AA130" s="94">
        <f ca="1">(250+0.6*(TblRezone[[#This Row],[Land]]-250))</f>
        <v>166</v>
      </c>
      <c r="AB130" s="215"/>
      <c r="AC130" s="157">
        <f ca="1">TblConstr[[#This Row],[Facs DB]]</f>
        <v>0</v>
      </c>
    </row>
    <row r="131" spans="1:29" x14ac:dyDescent="0.2">
      <c r="A131" s="214">
        <f ca="1">TblConstr[[#This Row],[Land]]</f>
        <v>110</v>
      </c>
      <c r="B131" s="216">
        <f ca="1">TblConstr[[#This Row],[Plain]]</f>
        <v>60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46107.041666666359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224401</v>
      </c>
      <c r="W131" s="215"/>
      <c r="X131" s="94">
        <f ca="1">ROUND( (1-MIN(ROUND(facs_rezone_factor*TblRezone[[#This Row],[Facs]],4),facs_rezone_max) + tech_6_4*TblTech[[#This Row],[6-4]] + tech_10_2*TblTech[[#This Row],[10-2]] - IF(TblMagic[[#This Row],[Active Mechanical Genius]]&gt;0,mech_genius_bonus,0) + race_rezone_cost) * TblRezone[[#This Row],[Plat/acre*]],0)</f>
        <v>166</v>
      </c>
      <c r="Y131" s="94">
        <f ca="1">TblRezone[[#This Row],[Total acres]]*TblRezone[[#This Row],[Plat/acre]]</f>
        <v>0</v>
      </c>
      <c r="Z131" s="215"/>
      <c r="AA131" s="94">
        <f ca="1">(250+0.6*(TblRezone[[#This Row],[Land]]-250))</f>
        <v>166</v>
      </c>
      <c r="AB131" s="215"/>
      <c r="AC131" s="157">
        <f ca="1">TblConstr[[#This Row],[Facs DB]]</f>
        <v>0</v>
      </c>
    </row>
    <row r="132" spans="1:29" x14ac:dyDescent="0.2">
      <c r="A132" s="214">
        <f ca="1">TblConstr[[#This Row],[Land]]</f>
        <v>110</v>
      </c>
      <c r="B132" s="216">
        <f ca="1">TblConstr[[#This Row],[Plain]]</f>
        <v>60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46107.083333333023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225159</v>
      </c>
      <c r="W132" s="215"/>
      <c r="X132" s="94">
        <f ca="1">ROUND( (1-MIN(ROUND(facs_rezone_factor*TblRezone[[#This Row],[Facs]],4),facs_rezone_max) + tech_6_4*TblTech[[#This Row],[6-4]] + tech_10_2*TblTech[[#This Row],[10-2]] - IF(TblMagic[[#This Row],[Active Mechanical Genius]]&gt;0,mech_genius_bonus,0) + race_rezone_cost) * TblRezone[[#This Row],[Plat/acre*]],0)</f>
        <v>166</v>
      </c>
      <c r="Y132" s="94">
        <f ca="1">TblRezone[[#This Row],[Total acres]]*TblRezone[[#This Row],[Plat/acre]]</f>
        <v>0</v>
      </c>
      <c r="Z132" s="215"/>
      <c r="AA132" s="94">
        <f ca="1">(250+0.6*(TblRezone[[#This Row],[Land]]-250))</f>
        <v>166</v>
      </c>
      <c r="AB132" s="215"/>
      <c r="AC132" s="157">
        <f ca="1">TblConstr[[#This Row],[Facs DB]]</f>
        <v>0</v>
      </c>
    </row>
    <row r="133" spans="1:29" x14ac:dyDescent="0.2">
      <c r="A133" s="214">
        <f ca="1">TblConstr[[#This Row],[Land]]</f>
        <v>110</v>
      </c>
      <c r="B133" s="216">
        <f ca="1">TblConstr[[#This Row],[Plain]]</f>
        <v>60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46107.124999999687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225909</v>
      </c>
      <c r="W133" s="215"/>
      <c r="X133" s="94">
        <f ca="1">ROUND( (1-MIN(ROUND(facs_rezone_factor*TblRezone[[#This Row],[Facs]],4),facs_rezone_max) + tech_6_4*TblTech[[#This Row],[6-4]] + tech_10_2*TblTech[[#This Row],[10-2]] - IF(TblMagic[[#This Row],[Active Mechanical Genius]]&gt;0,mech_genius_bonus,0) + race_rezone_cost) * TblRezone[[#This Row],[Plat/acre*]],0)</f>
        <v>166</v>
      </c>
      <c r="Y133" s="94">
        <f ca="1">TblRezone[[#This Row],[Total acres]]*TblRezone[[#This Row],[Plat/acre]]</f>
        <v>0</v>
      </c>
      <c r="Z133" s="215"/>
      <c r="AA133" s="94">
        <f ca="1">(250+0.6*(TblRezone[[#This Row],[Land]]-250))</f>
        <v>166</v>
      </c>
      <c r="AB133" s="215"/>
      <c r="AC133" s="157">
        <f ca="1">TblConstr[[#This Row],[Facs DB]]</f>
        <v>0</v>
      </c>
    </row>
    <row r="134" spans="1:29" x14ac:dyDescent="0.2">
      <c r="A134" s="214">
        <f ca="1">TblConstr[[#This Row],[Land]]</f>
        <v>110</v>
      </c>
      <c r="B134" s="216">
        <f ca="1">TblConstr[[#This Row],[Plain]]</f>
        <v>60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46107.166666666351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226651</v>
      </c>
      <c r="W134" s="215"/>
      <c r="X134" s="94">
        <f ca="1">ROUND( (1-MIN(ROUND(facs_rezone_factor*TblRezone[[#This Row],[Facs]],4),facs_rezone_max) + tech_6_4*TblTech[[#This Row],[6-4]] + tech_10_2*TblTech[[#This Row],[10-2]] - IF(TblMagic[[#This Row],[Active Mechanical Genius]]&gt;0,mech_genius_bonus,0) + race_rezone_cost) * TblRezone[[#This Row],[Plat/acre*]],0)</f>
        <v>166</v>
      </c>
      <c r="Y134" s="94">
        <f ca="1">TblRezone[[#This Row],[Total acres]]*TblRezone[[#This Row],[Plat/acre]]</f>
        <v>0</v>
      </c>
      <c r="Z134" s="215"/>
      <c r="AA134" s="94">
        <f ca="1">(250+0.6*(TblRezone[[#This Row],[Land]]-250))</f>
        <v>166</v>
      </c>
      <c r="AB134" s="215"/>
      <c r="AC134" s="157">
        <f ca="1">TblConstr[[#This Row],[Facs DB]]</f>
        <v>0</v>
      </c>
    </row>
    <row r="135" spans="1:29" x14ac:dyDescent="0.2">
      <c r="A135" s="214">
        <f ca="1">TblConstr[[#This Row],[Land]]</f>
        <v>110</v>
      </c>
      <c r="B135" s="216">
        <f ca="1">TblConstr[[#This Row],[Plain]]</f>
        <v>60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46107.208333333016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227385</v>
      </c>
      <c r="W135" s="215"/>
      <c r="X135" s="94">
        <f ca="1">ROUND( (1-MIN(ROUND(facs_rezone_factor*TblRezone[[#This Row],[Facs]],4),facs_rezone_max) + tech_6_4*TblTech[[#This Row],[6-4]] + tech_10_2*TblTech[[#This Row],[10-2]] - IF(TblMagic[[#This Row],[Active Mechanical Genius]]&gt;0,mech_genius_bonus,0) + race_rezone_cost) * TblRezone[[#This Row],[Plat/acre*]],0)</f>
        <v>166</v>
      </c>
      <c r="Y135" s="94">
        <f ca="1">TblRezone[[#This Row],[Total acres]]*TblRezone[[#This Row],[Plat/acre]]</f>
        <v>0</v>
      </c>
      <c r="Z135" s="215"/>
      <c r="AA135" s="94">
        <f ca="1">(250+0.6*(TblRezone[[#This Row],[Land]]-250))</f>
        <v>166</v>
      </c>
      <c r="AB135" s="215"/>
      <c r="AC135" s="157">
        <f ca="1">TblConstr[[#This Row],[Facs DB]]</f>
        <v>0</v>
      </c>
    </row>
    <row r="136" spans="1:29" x14ac:dyDescent="0.2">
      <c r="A136" s="214">
        <f ca="1">TblConstr[[#This Row],[Land]]</f>
        <v>110</v>
      </c>
      <c r="B136" s="216">
        <f ca="1">TblConstr[[#This Row],[Plain]]</f>
        <v>60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46107.24999999968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228111</v>
      </c>
      <c r="W136" s="215"/>
      <c r="X136" s="94">
        <f ca="1">ROUND( (1-MIN(ROUND(facs_rezone_factor*TblRezone[[#This Row],[Facs]],4),facs_rezone_max) + tech_6_4*TblTech[[#This Row],[6-4]] + tech_10_2*TblTech[[#This Row],[10-2]] - IF(TblMagic[[#This Row],[Active Mechanical Genius]]&gt;0,mech_genius_bonus,0) + race_rezone_cost) * TblRezone[[#This Row],[Plat/acre*]],0)</f>
        <v>166</v>
      </c>
      <c r="Y136" s="94">
        <f ca="1">TblRezone[[#This Row],[Total acres]]*TblRezone[[#This Row],[Plat/acre]]</f>
        <v>0</v>
      </c>
      <c r="Z136" s="215"/>
      <c r="AA136" s="94">
        <f ca="1">(250+0.6*(TblRezone[[#This Row],[Land]]-250))</f>
        <v>166</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37" priority="14" stopIfTrue="1">
      <formula>ROW()-2=#REF!</formula>
    </cfRule>
  </conditionalFormatting>
  <conditionalFormatting sqref="A1269:AC1270">
    <cfRule type="expression" dxfId="36" priority="15" stopIfTrue="1">
      <formula>$A$1270&gt;144</formula>
    </cfRule>
  </conditionalFormatting>
  <conditionalFormatting sqref="A1:AC3">
    <cfRule type="expression" dxfId="35" priority="19" stopIfTrue="1">
      <formula>$A$1270&lt;0</formula>
    </cfRule>
  </conditionalFormatting>
  <conditionalFormatting sqref="A4:AC136">
    <cfRule type="expression" dxfId="34" priority="1" stopIfTrue="1">
      <formula>ROW()-3=$A$1270</formula>
    </cfRule>
    <cfRule type="expression" dxfId="33" priority="2" stopIfTrue="1">
      <formula>OR(AND(ROW()-3=$A$1270,A4="Ok",XFD4&lt;&gt;0),A4="Nope")</formula>
    </cfRule>
    <cfRule type="expression" dxfId="32" priority="4">
      <formula>$J4=37</formula>
    </cfRule>
    <cfRule type="expression" dxfId="31" priority="7">
      <formula>ROUND(($J4-1)/12,0)=INT($J4-1)/12</formula>
    </cfRule>
  </conditionalFormatting>
  <conditionalFormatting sqref="T76">
    <cfRule type="expression" dxfId="30" priority="13" stopIfTrue="1">
      <formula>S76=0</formula>
    </cfRule>
  </conditionalFormatting>
  <conditionalFormatting sqref="B4:H136">
    <cfRule type="cellIs" dxfId="29"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INDEX(Constants!A138:B159,MATCH(race,Constants!A138:A159,0),2)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1141</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1139</v>
      </c>
      <c r="CM3" s="135" t="s">
        <v>1162</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46101.75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46101.75</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315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hidden="1" x14ac:dyDescent="0.2">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155</v>
      </c>
      <c r="AB5" s="154"/>
      <c r="AC5" s="180">
        <f ca="1">(TblConstr[[#This Row],[Tot Smi]]+TblConstr[[#This Row],[Dest Smi]])/(TblConstr[[#This Row],[Land]]-TblExplore[[#This Row],[Land Bonus]]*20)</f>
        <v>0</v>
      </c>
      <c r="AD5" s="137"/>
      <c r="AE5" s="246">
        <f>TblMili[[#This Row],[Hour]]</f>
        <v>2</v>
      </c>
      <c r="AF5" s="138">
        <f ca="1">TblExplore[[#This Row],[Time]]</f>
        <v>46101.791666666664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46101.791666666664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315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hidden="1" x14ac:dyDescent="0.2">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160</v>
      </c>
      <c r="AB6" s="154"/>
      <c r="AC6" s="180">
        <f ca="1">(TblConstr[[#This Row],[Tot Smi]]+TblConstr[[#This Row],[Dest Smi]])/(TblConstr[[#This Row],[Land]]-TblExplore[[#This Row],[Land Bonus]]*20)</f>
        <v>0</v>
      </c>
      <c r="AD6" s="137"/>
      <c r="AE6" s="246">
        <f>TblMili[[#This Row],[Hour]]</f>
        <v>3</v>
      </c>
      <c r="AF6" s="138">
        <f ca="1">TblExplore[[#This Row],[Time]]</f>
        <v>46101.833333333328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46101.833333333328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315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hidden="1" x14ac:dyDescent="0.2">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165</v>
      </c>
      <c r="AB7" s="154"/>
      <c r="AC7" s="180">
        <f ca="1">(TblConstr[[#This Row],[Tot Smi]]+TblConstr[[#This Row],[Dest Smi]])/(TblConstr[[#This Row],[Land]]-TblExplore[[#This Row],[Land Bonus]]*20)</f>
        <v>0</v>
      </c>
      <c r="AD7" s="137"/>
      <c r="AE7" s="246">
        <f>TblMili[[#This Row],[Hour]]</f>
        <v>4</v>
      </c>
      <c r="AF7" s="138">
        <f ca="1">TblExplore[[#This Row],[Time]]</f>
        <v>46101.874999999993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46101.874999999993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315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hidden="1" x14ac:dyDescent="0.2">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170</v>
      </c>
      <c r="AB8" s="154"/>
      <c r="AC8" s="180">
        <f ca="1">(TblConstr[[#This Row],[Tot Smi]]+TblConstr[[#This Row],[Dest Smi]])/(TblConstr[[#This Row],[Land]]-TblExplore[[#This Row],[Land Bonus]]*20)</f>
        <v>0</v>
      </c>
      <c r="AD8" s="137"/>
      <c r="AE8" s="246">
        <f>TblMili[[#This Row],[Hour]]</f>
        <v>5</v>
      </c>
      <c r="AF8" s="138">
        <f ca="1">TblExplore[[#This Row],[Time]]</f>
        <v>46101.916666666657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46101.916666666657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315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hidden="1" x14ac:dyDescent="0.2">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175</v>
      </c>
      <c r="AB9" s="154"/>
      <c r="AC9" s="180">
        <f ca="1">(TblConstr[[#This Row],[Tot Smi]]+TblConstr[[#This Row],[Dest Smi]])/(TblConstr[[#This Row],[Land]]-TblExplore[[#This Row],[Land Bonus]]*20)</f>
        <v>0</v>
      </c>
      <c r="AD9" s="137"/>
      <c r="AE9" s="246">
        <f>TblMili[[#This Row],[Hour]]</f>
        <v>6</v>
      </c>
      <c r="AF9" s="138">
        <f ca="1">TblExplore[[#This Row],[Time]]</f>
        <v>46101.958333333321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46101.958333333321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315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hidden="1" x14ac:dyDescent="0.2">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180</v>
      </c>
      <c r="AB10" s="154"/>
      <c r="AC10" s="180">
        <f ca="1">(TblConstr[[#This Row],[Tot Smi]]+TblConstr[[#This Row],[Dest Smi]])/(TblConstr[[#This Row],[Land]]-TblExplore[[#This Row],[Land Bonus]]*20)</f>
        <v>0</v>
      </c>
      <c r="AD10" s="137"/>
      <c r="AE10" s="246">
        <f>TblMili[[#This Row],[Hour]]</f>
        <v>7</v>
      </c>
      <c r="AF10" s="138">
        <f ca="1">TblExplore[[#This Row],[Time]]</f>
        <v>46101.999999999985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46101.999999999985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315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hidden="1" x14ac:dyDescent="0.2">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185</v>
      </c>
      <c r="AB11" s="154"/>
      <c r="AC11" s="180">
        <f ca="1">(TblConstr[[#This Row],[Tot Smi]]+TblConstr[[#This Row],[Dest Smi]])/(TblConstr[[#This Row],[Land]]-TblExplore[[#This Row],[Land Bonus]]*20)</f>
        <v>0</v>
      </c>
      <c r="AD11" s="137"/>
      <c r="AE11" s="246">
        <f>TblMili[[#This Row],[Hour]]</f>
        <v>8</v>
      </c>
      <c r="AF11" s="138">
        <f ca="1">TblExplore[[#This Row],[Time]]</f>
        <v>46102.04166666665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46102.04166666665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315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hidden="1" x14ac:dyDescent="0.2">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190</v>
      </c>
      <c r="AB12" s="154"/>
      <c r="AC12" s="180">
        <f ca="1">(TblConstr[[#This Row],[Tot Smi]]+TblConstr[[#This Row],[Dest Smi]])/(TblConstr[[#This Row],[Land]]-TblExplore[[#This Row],[Land Bonus]]*20)</f>
        <v>0</v>
      </c>
      <c r="AD12" s="137"/>
      <c r="AE12" s="246">
        <f>TblMili[[#This Row],[Hour]]</f>
        <v>9</v>
      </c>
      <c r="AF12" s="138">
        <f ca="1">TblExplore[[#This Row],[Time]]</f>
        <v>46102.083333333314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46102.083333333314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315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hidden="1" x14ac:dyDescent="0.2">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195</v>
      </c>
      <c r="AB13" s="154"/>
      <c r="AC13" s="180">
        <f ca="1">(TblConstr[[#This Row],[Tot Smi]]+TblConstr[[#This Row],[Dest Smi]])/(TblConstr[[#This Row],[Land]]-TblExplore[[#This Row],[Land Bonus]]*20)</f>
        <v>0</v>
      </c>
      <c r="AD13" s="137"/>
      <c r="AE13" s="246">
        <f>TblMili[[#This Row],[Hour]]</f>
        <v>10</v>
      </c>
      <c r="AF13" s="138">
        <f ca="1">TblExplore[[#This Row],[Time]]</f>
        <v>46102.124999999978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46102.124999999978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315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hidden="1" x14ac:dyDescent="0.2">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201</v>
      </c>
      <c r="AB14" s="154"/>
      <c r="AC14" s="180">
        <f ca="1">(TblConstr[[#This Row],[Tot Smi]]+TblConstr[[#This Row],[Dest Smi]])/(TblConstr[[#This Row],[Land]]-TblExplore[[#This Row],[Land Bonus]]*20)</f>
        <v>0</v>
      </c>
      <c r="AD14" s="137"/>
      <c r="AE14" s="246">
        <f>TblMili[[#This Row],[Hour]]</f>
        <v>11</v>
      </c>
      <c r="AF14" s="138">
        <f ca="1">TblExplore[[#This Row],[Time]]</f>
        <v>46102.166666666642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46102.166666666642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315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hidden="1" x14ac:dyDescent="0.2">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207</v>
      </c>
      <c r="AB15" s="154"/>
      <c r="AC15" s="180">
        <f ca="1">(TblConstr[[#This Row],[Tot Smi]]+TblConstr[[#This Row],[Dest Smi]])/(TblConstr[[#This Row],[Land]]-TblExplore[[#This Row],[Land Bonus]]*20)</f>
        <v>0</v>
      </c>
      <c r="AD15" s="137"/>
      <c r="AE15" s="246">
        <f>TblMili[[#This Row],[Hour]]</f>
        <v>12</v>
      </c>
      <c r="AF15" s="138">
        <f ca="1">TblExplore[[#This Row],[Time]]</f>
        <v>46102.208333333307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46102.208333333307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315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0.27099236641221375</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2450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110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213</v>
      </c>
      <c r="AB16" s="154"/>
      <c r="AC16" s="180">
        <f ca="1">(TblConstr[[#This Row],[Tot Smi]]+TblConstr[[#This Row],[Dest Smi]])/(TblConstr[[#This Row],[Land]]-TblExplore[[#This Row],[Land Bonus]]*20)</f>
        <v>0</v>
      </c>
      <c r="AD16" s="246"/>
      <c r="AE16" s="246">
        <f>TblMili[[#This Row],[Hour]]</f>
        <v>13</v>
      </c>
      <c r="AF16" s="138">
        <f ca="1">TblExplore[[#This Row],[Time]]</f>
        <v>46102.249999999971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46102.249999999971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315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0.81818181818181823</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4</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3</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0.1</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6" s="142"/>
      <c r="DH16" s="254">
        <f ca="1">(TblMili[[#This Row],[Wizards]]+2*TblMili[[#This Row],[Archmages]])/TblConstr[[#This Row],[Land]]</f>
        <v>0</v>
      </c>
      <c r="DI16" s="254">
        <f ca="1">TblMili[[#This Row],[Raw (2)]]*(1+race_wizard_strength+IF(TblMili[[#This Row],[Hour]]&gt;72,tech_magical_weaponry_wiz*TblTech[[#This Row],[3-5]],0))</f>
        <v>0</v>
      </c>
    </row>
    <row r="17" spans="1:113" hidden="1" x14ac:dyDescent="0.2">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0.27272727272727271</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2450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110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219</v>
      </c>
      <c r="AB17" s="154"/>
      <c r="AC17" s="180">
        <f ca="1">(TblConstr[[#This Row],[Tot Smi]]+TblConstr[[#This Row],[Dest Smi]])/(TblConstr[[#This Row],[Land]]-TblExplore[[#This Row],[Land Bonus]]*20)</f>
        <v>0</v>
      </c>
      <c r="AD17" s="137"/>
      <c r="AE17" s="246">
        <f>TblMili[[#This Row],[Hour]]</f>
        <v>14</v>
      </c>
      <c r="AF17" s="138">
        <f ca="1">TblExplore[[#This Row],[Time]]</f>
        <v>46102.291666666635</v>
      </c>
      <c r="AO17" s="420">
        <f ca="1">ROUND(IF(AND(TblMagic[[#This Row],[Active DnD]]&lt;12,TblMagic[[#This Row],[Active DnD]]&gt;5),OFFSET(TblPop[[#This Row],[Draft Growth]],-1,0)*0.375,0),0)</f>
        <v>0</v>
      </c>
      <c r="AP17" s="142"/>
      <c r="AQ17" s="94">
        <f ca="1">TblProd[[#This Row],[Platinum]]</f>
        <v>68422</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46102.291666666635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315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0.81818181818181823</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4</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3</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0.1</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7" s="142"/>
      <c r="DH17" s="254">
        <f ca="1">(TblMili[[#This Row],[Wizards]]+2*TblMili[[#This Row],[Archmages]])/TblConstr[[#This Row],[Land]]</f>
        <v>0</v>
      </c>
      <c r="DI17" s="254">
        <f ca="1">TblMili[[#This Row],[Raw (2)]]*(1+race_wizard_strength+IF(TblMili[[#This Row],[Hour]]&gt;72,tech_magical_weaponry_wiz*TblTech[[#This Row],[3-5]],0))</f>
        <v>0</v>
      </c>
    </row>
    <row r="18" spans="1:113" hidden="1" x14ac:dyDescent="0.2">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0.27439024390243905</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2450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110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225</v>
      </c>
      <c r="AB18" s="154"/>
      <c r="AC18" s="180">
        <f ca="1">(TblConstr[[#This Row],[Tot Smi]]+TblConstr[[#This Row],[Dest Smi]])/(TblConstr[[#This Row],[Land]]-TblExplore[[#This Row],[Land Bonus]]*20)</f>
        <v>0</v>
      </c>
      <c r="AD18" s="137"/>
      <c r="AE18" s="246">
        <f>TblMili[[#This Row],[Hour]]</f>
        <v>15</v>
      </c>
      <c r="AF18" s="138">
        <f ca="1">TblExplore[[#This Row],[Time]]</f>
        <v>46102.333333333299</v>
      </c>
      <c r="AO18" s="420">
        <f ca="1">ROUND(IF(AND(TblMagic[[#This Row],[Active DnD]]&lt;12,TblMagic[[#This Row],[Active DnD]]&gt;5),OFFSET(TblPop[[#This Row],[Draft Growth]],-1,0)*0.375,0),0)</f>
        <v>0</v>
      </c>
      <c r="AP18" s="142"/>
      <c r="AQ18" s="94">
        <f ca="1">TblProd[[#This Row],[Platinum]]</f>
        <v>69998</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46102.333333333299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315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0.81818181818181823</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4</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3</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0.1</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8" s="142"/>
      <c r="DH18" s="254">
        <f ca="1">(TblMili[[#This Row],[Wizards]]+2*TblMili[[#This Row],[Archmages]])/TblConstr[[#This Row],[Land]]</f>
        <v>0</v>
      </c>
      <c r="DI18" s="254">
        <f ca="1">TblMili[[#This Row],[Raw (2)]]*(1+race_wizard_strength+IF(TblMili[[#This Row],[Hour]]&gt;72,tech_magical_weaponry_wiz*TblTech[[#This Row],[3-5]],0))</f>
        <v>0</v>
      </c>
    </row>
    <row r="19" spans="1:113" hidden="1" x14ac:dyDescent="0.2">
      <c r="A19" s="137">
        <f>TblRezone[[#This Row],[Hour]]</f>
        <v>16</v>
      </c>
      <c r="B19" s="246">
        <f ca="1">SUM(TblMili[[#This Row],[Unit 1]:[Archmages]])+SUM(OFFSET(TblMili[[#This Row],[Train Unit 1]],-8,0):TblMili[[#This Row],[Train Unit 2]]) + SUM(OFFSET(TblMili[[#This Row],[Train Unit 3]],-11,0):TblMili[[#This Row],[Train AM]]) + TblMili[[#This Row],[Draftees]]</f>
        <v>231</v>
      </c>
      <c r="C19" s="157">
        <f ca="1">TblPop[[#This Row],[Military%]]</f>
        <v>0.27565632458233891</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2450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231</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231</v>
      </c>
      <c r="X19" s="247">
        <f ca="1">TblConstr[[#This Row],[Land]]</f>
        <v>110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231</v>
      </c>
      <c r="AB19" s="154"/>
      <c r="AC19" s="180">
        <f ca="1">(TblConstr[[#This Row],[Tot Smi]]+TblConstr[[#This Row],[Dest Smi]])/(TblConstr[[#This Row],[Land]]-TblExplore[[#This Row],[Land Bonus]]*20)</f>
        <v>0</v>
      </c>
      <c r="AD19" s="137"/>
      <c r="AE19" s="246">
        <f>TblMili[[#This Row],[Hour]]</f>
        <v>16</v>
      </c>
      <c r="AF19" s="138">
        <f ca="1">TblExplore[[#This Row],[Time]]</f>
        <v>46102.374999999964</v>
      </c>
      <c r="AO19" s="420">
        <f ca="1">ROUND(IF(AND(TblMagic[[#This Row],[Active DnD]]&lt;12,TblMagic[[#This Row],[Active DnD]]&gt;5),OFFSET(TblPop[[#This Row],[Draft Growth]],-1,0)*0.375,0),0)</f>
        <v>0</v>
      </c>
      <c r="AP19" s="142"/>
      <c r="AQ19" s="94">
        <f ca="1">TblProd[[#This Row],[Platinum]]</f>
        <v>71604</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46102.374999999964</v>
      </c>
      <c r="AW19" s="94">
        <f ca="1">TblMili[[#This Row],[Draftees]]</f>
        <v>231</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315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0.81818181818181823</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4</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3</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0.1</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9" s="142"/>
      <c r="DH19" s="254">
        <f ca="1">(TblMili[[#This Row],[Wizards]]+2*TblMili[[#This Row],[Archmages]])/TblConstr[[#This Row],[Land]]</f>
        <v>0</v>
      </c>
      <c r="DI19" s="254">
        <f ca="1">TblMili[[#This Row],[Raw (2)]]*(1+race_wizard_strength+IF(TblMili[[#This Row],[Hour]]&gt;72,tech_magical_weaponry_wiz*TblTech[[#This Row],[3-5]],0))</f>
        <v>0</v>
      </c>
    </row>
    <row r="20" spans="1:113" hidden="1" x14ac:dyDescent="0.2">
      <c r="A20" s="137">
        <f>TblRezone[[#This Row],[Hour]]</f>
        <v>17</v>
      </c>
      <c r="B20" s="246">
        <f ca="1">SUM(TblMili[[#This Row],[Unit 1]:[Archmages]])+SUM(OFFSET(TblMili[[#This Row],[Train Unit 1]],-8,0):TblMili[[#This Row],[Train Unit 2]]) + SUM(OFFSET(TblMili[[#This Row],[Train Unit 3]],-11,0):TblMili[[#This Row],[Train AM]]) + TblMili[[#This Row],[Draftees]]</f>
        <v>237</v>
      </c>
      <c r="C20" s="157">
        <f ca="1">TblPop[[#This Row],[Military%]]</f>
        <v>0.27686915887850466</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2450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237</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237</v>
      </c>
      <c r="X20" s="247">
        <f ca="1">TblConstr[[#This Row],[Land]]</f>
        <v>110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237</v>
      </c>
      <c r="AB20" s="154"/>
      <c r="AC20" s="180">
        <f ca="1">(TblConstr[[#This Row],[Tot Smi]]+TblConstr[[#This Row],[Dest Smi]])/(TblConstr[[#This Row],[Land]]-TblExplore[[#This Row],[Land Bonus]]*20)</f>
        <v>0</v>
      </c>
      <c r="AD20" s="137"/>
      <c r="AE20" s="246">
        <f>TblMili[[#This Row],[Hour]]</f>
        <v>17</v>
      </c>
      <c r="AF20" s="138">
        <f ca="1">TblExplore[[#This Row],[Time]]</f>
        <v>46102.416666666628</v>
      </c>
      <c r="AO20" s="420">
        <f ca="1">ROUND(IF(AND(TblMagic[[#This Row],[Active DnD]]&lt;12,TblMagic[[#This Row],[Active DnD]]&gt;5),OFFSET(TblPop[[#This Row],[Draft Growth]],-1,0)*0.375,0),0)</f>
        <v>0</v>
      </c>
      <c r="AP20" s="142"/>
      <c r="AQ20" s="94">
        <f ca="1">TblProd[[#This Row],[Platinum]]</f>
        <v>73242</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46102.416666666628</v>
      </c>
      <c r="AW20" s="94">
        <f ca="1">TblMili[[#This Row],[Draftees]]</f>
        <v>237</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315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0.81818181818181823</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4</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3</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0.1</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0" s="142"/>
      <c r="DH20" s="254">
        <f ca="1">(TblMili[[#This Row],[Wizards]]+2*TblMili[[#This Row],[Archmages]])/TblConstr[[#This Row],[Land]]</f>
        <v>0</v>
      </c>
      <c r="DI20" s="254">
        <f ca="1">TblMili[[#This Row],[Raw (2)]]*(1+race_wizard_strength+IF(TblMili[[#This Row],[Hour]]&gt;72,tech_magical_weaponry_wiz*TblTech[[#This Row],[3-5]],0))</f>
        <v>0</v>
      </c>
    </row>
    <row r="21" spans="1:113" hidden="1" x14ac:dyDescent="0.2">
      <c r="A21" s="137">
        <f>TblRezone[[#This Row],[Hour]]</f>
        <v>18</v>
      </c>
      <c r="B21" s="246">
        <f ca="1">SUM(TblMili[[#This Row],[Unit 1]:[Archmages]])+SUM(OFFSET(TblMili[[#This Row],[Train Unit 1]],-8,0):TblMili[[#This Row],[Train Unit 2]]) + SUM(OFFSET(TblMili[[#This Row],[Train Unit 3]],-11,0):TblMili[[#This Row],[Train AM]]) + TblMili[[#This Row],[Draftees]]</f>
        <v>243</v>
      </c>
      <c r="C21" s="157">
        <f ca="1">TblPop[[#This Row],[Military%]]</f>
        <v>0.2780320366132723</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2450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243</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243</v>
      </c>
      <c r="X21" s="247">
        <f ca="1">TblConstr[[#This Row],[Land]]</f>
        <v>110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243</v>
      </c>
      <c r="AB21" s="154"/>
      <c r="AC21" s="180">
        <f ca="1">(TblConstr[[#This Row],[Tot Smi]]+TblConstr[[#This Row],[Dest Smi]])/(TblConstr[[#This Row],[Land]]-TblExplore[[#This Row],[Land Bonus]]*20)</f>
        <v>0</v>
      </c>
      <c r="AD21" s="137"/>
      <c r="AE21" s="246">
        <f>TblMili[[#This Row],[Hour]]</f>
        <v>18</v>
      </c>
      <c r="AF21" s="138">
        <f ca="1">TblExplore[[#This Row],[Time]]</f>
        <v>46102.458333333292</v>
      </c>
      <c r="AO21" s="420">
        <f ca="1">ROUND(IF(AND(TblMagic[[#This Row],[Active DnD]]&lt;12,TblMagic[[#This Row],[Active DnD]]&gt;5),OFFSET(TblPop[[#This Row],[Draft Growth]],-1,0)*0.375,0),0)</f>
        <v>0</v>
      </c>
      <c r="AP21" s="142"/>
      <c r="AQ21" s="94">
        <f ca="1">TblProd[[#This Row],[Platinum]]</f>
        <v>74913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46102.458333333292</v>
      </c>
      <c r="AW21" s="94">
        <f ca="1">TblMili[[#This Row],[Draftees]]</f>
        <v>243</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315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0.81818181818181823</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4</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3</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0.1</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1" s="142"/>
      <c r="DH21" s="254">
        <f ca="1">(TblMili[[#This Row],[Wizards]]+2*TblMili[[#This Row],[Archmages]])/TblConstr[[#This Row],[Land]]</f>
        <v>0</v>
      </c>
      <c r="DI21" s="254">
        <f ca="1">TblMili[[#This Row],[Raw (2)]]*(1+race_wizard_strength+IF(TblMili[[#This Row],[Hour]]&gt;72,tech_magical_weaponry_wiz*TblTech[[#This Row],[3-5]],0))</f>
        <v>0</v>
      </c>
    </row>
    <row r="22" spans="1:113" hidden="1" x14ac:dyDescent="0.2">
      <c r="A22" s="137">
        <f>TblRezone[[#This Row],[Hour]]</f>
        <v>19</v>
      </c>
      <c r="B22" s="246">
        <f ca="1">SUM(TblMili[[#This Row],[Unit 1]:[Archmages]])+SUM(OFFSET(TblMili[[#This Row],[Train Unit 1]],-8,0):TblMili[[#This Row],[Train Unit 2]]) + SUM(OFFSET(TblMili[[#This Row],[Train Unit 3]],-11,0):TblMili[[#This Row],[Train AM]]) + TblMili[[#This Row],[Draftees]]</f>
        <v>249</v>
      </c>
      <c r="C22" s="157">
        <f ca="1">TblPop[[#This Row],[Military%]]</f>
        <v>0.27883538633818589</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2450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249</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249</v>
      </c>
      <c r="X22" s="247">
        <f ca="1">TblConstr[[#This Row],[Land]]</f>
        <v>110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249</v>
      </c>
      <c r="AB22" s="154"/>
      <c r="AC22" s="180">
        <f ca="1">(TblConstr[[#This Row],[Tot Smi]]+TblConstr[[#This Row],[Dest Smi]])/(TblConstr[[#This Row],[Land]]-TblExplore[[#This Row],[Land Bonus]]*20)</f>
        <v>0</v>
      </c>
      <c r="AD22" s="137"/>
      <c r="AE22" s="246">
        <f>TblMili[[#This Row],[Hour]]</f>
        <v>19</v>
      </c>
      <c r="AF22" s="138">
        <f ca="1">TblExplore[[#This Row],[Time]]</f>
        <v>46102.499999999956</v>
      </c>
      <c r="AO22" s="420">
        <f ca="1">ROUND(IF(AND(TblMagic[[#This Row],[Active DnD]]&lt;12,TblMagic[[#This Row],[Active DnD]]&gt;5),OFFSET(TblPop[[#This Row],[Draft Growth]],-1,0)*0.375,0),0)</f>
        <v>0</v>
      </c>
      <c r="AP22" s="142"/>
      <c r="AQ22" s="94">
        <f ca="1">TblProd[[#This Row],[Platinum]]</f>
        <v>76616</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46102.499999999956</v>
      </c>
      <c r="AW22" s="94">
        <f ca="1">TblMili[[#This Row],[Draftees]]</f>
        <v>249</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315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0.81818181818181823</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4</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3</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0.1</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2" s="142"/>
      <c r="DH22" s="254">
        <f ca="1">(TblMili[[#This Row],[Wizards]]+2*TblMili[[#This Row],[Archmages]])/TblConstr[[#This Row],[Land]]</f>
        <v>0</v>
      </c>
      <c r="DI22" s="254">
        <f ca="1">TblMili[[#This Row],[Raw (2)]]*(1+race_wizard_strength+IF(TblMili[[#This Row],[Hour]]&gt;72,tech_magical_weaponry_wiz*TblTech[[#This Row],[3-5]],0))</f>
        <v>0</v>
      </c>
    </row>
    <row r="23" spans="1:113" hidden="1" x14ac:dyDescent="0.2">
      <c r="A23" s="137">
        <f>TblRezone[[#This Row],[Hour]]</f>
        <v>20</v>
      </c>
      <c r="B23" s="246">
        <f ca="1">SUM(TblMili[[#This Row],[Unit 1]:[Archmages]])+SUM(OFFSET(TblMili[[#This Row],[Train Unit 1]],-8,0):TblMili[[#This Row],[Train Unit 2]]) + SUM(OFFSET(TblMili[[#This Row],[Train Unit 3]],-11,0):TblMili[[#This Row],[Train AM]]) + TblMili[[#This Row],[Draftees]]</f>
        <v>255</v>
      </c>
      <c r="C23" s="157">
        <f ca="1">TblPop[[#This Row],[Military%]]</f>
        <v>0.27960526315789475</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2450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255</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255</v>
      </c>
      <c r="X23" s="247">
        <f ca="1">TblConstr[[#This Row],[Land]]</f>
        <v>110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255</v>
      </c>
      <c r="AB23" s="154"/>
      <c r="AC23" s="180">
        <f ca="1">(TblConstr[[#This Row],[Tot Smi]]+TblConstr[[#This Row],[Dest Smi]])/(TblConstr[[#This Row],[Land]]-TblExplore[[#This Row],[Land Bonus]]*20)</f>
        <v>0</v>
      </c>
      <c r="AD23" s="137"/>
      <c r="AE23" s="246">
        <f>TblMili[[#This Row],[Hour]]</f>
        <v>20</v>
      </c>
      <c r="AF23" s="138">
        <f ca="1">TblExplore[[#This Row],[Time]]</f>
        <v>46102.541666666621</v>
      </c>
      <c r="AO23" s="420">
        <f ca="1">ROUND(IF(AND(TblMagic[[#This Row],[Active DnD]]&lt;12,TblMagic[[#This Row],[Active DnD]]&gt;5),OFFSET(TblPop[[#This Row],[Draft Growth]],-1,0)*0.375,0),0)</f>
        <v>0</v>
      </c>
      <c r="AP23" s="142"/>
      <c r="AQ23" s="94">
        <f ca="1">TblProd[[#This Row],[Platinum]]</f>
        <v>78354</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46102.541666666621</v>
      </c>
      <c r="AW23" s="94">
        <f ca="1">TblMili[[#This Row],[Draftees]]</f>
        <v>255</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315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0.81818181818181823</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4</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3</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0.1</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3" s="142"/>
      <c r="DH23" s="254">
        <f ca="1">(TblMili[[#This Row],[Wizards]]+2*TblMili[[#This Row],[Archmages]])/TblConstr[[#This Row],[Land]]</f>
        <v>0</v>
      </c>
      <c r="DI23" s="254">
        <f ca="1">TblMili[[#This Row],[Raw (2)]]*(1+race_wizard_strength+IF(TblMili[[#This Row],[Hour]]&gt;72,tech_magical_weaponry_wiz*TblTech[[#This Row],[3-5]],0))</f>
        <v>0</v>
      </c>
    </row>
    <row r="24" spans="1:113" hidden="1" x14ac:dyDescent="0.2">
      <c r="A24" s="137">
        <f>TblRezone[[#This Row],[Hour]]</f>
        <v>21</v>
      </c>
      <c r="B24" s="246">
        <f ca="1">SUM(TblMili[[#This Row],[Unit 1]:[Archmages]])+SUM(OFFSET(TblMili[[#This Row],[Train Unit 1]],-8,0):TblMili[[#This Row],[Train Unit 2]]) + SUM(OFFSET(TblMili[[#This Row],[Train Unit 3]],-11,0):TblMili[[#This Row],[Train AM]]) + TblMili[[#This Row],[Draftees]]</f>
        <v>262</v>
      </c>
      <c r="C24" s="157">
        <f ca="1">TblPop[[#This Row],[Military%]]</f>
        <v>0.2811158798283262</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2450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262</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262</v>
      </c>
      <c r="X24" s="247">
        <f ca="1">TblConstr[[#This Row],[Land]]</f>
        <v>110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262</v>
      </c>
      <c r="AB24" s="154"/>
      <c r="AC24" s="180">
        <f ca="1">(TblConstr[[#This Row],[Tot Smi]]+TblConstr[[#This Row],[Dest Smi]])/(TblConstr[[#This Row],[Land]]-TblExplore[[#This Row],[Land Bonus]]*20)</f>
        <v>0</v>
      </c>
      <c r="AD24" s="137"/>
      <c r="AE24" s="246">
        <f>TblMili[[#This Row],[Hour]]</f>
        <v>21</v>
      </c>
      <c r="AF24" s="138">
        <f ca="1">TblExplore[[#This Row],[Time]]</f>
        <v>46102.583333333285</v>
      </c>
      <c r="AO24" s="420">
        <f ca="1">ROUND(IF(AND(TblMagic[[#This Row],[Active DnD]]&lt;12,TblMagic[[#This Row],[Active DnD]]&gt;5),OFFSET(TblPop[[#This Row],[Draft Growth]],-1,0)*0.375,0),0)</f>
        <v>0</v>
      </c>
      <c r="AP24" s="142"/>
      <c r="AQ24" s="94">
        <f ca="1">TblProd[[#This Row],[Platinum]]</f>
        <v>80127</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46102.583333333285</v>
      </c>
      <c r="AW24" s="94">
        <f ca="1">TblMili[[#This Row],[Draftees]]</f>
        <v>262</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315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0.81818181818181823</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4</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3</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0.1</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4" s="142"/>
      <c r="DH24" s="254">
        <f ca="1">(TblMili[[#This Row],[Wizards]]+2*TblMili[[#This Row],[Archmages]])/TblConstr[[#This Row],[Land]]</f>
        <v>0</v>
      </c>
      <c r="DI24" s="254">
        <f ca="1">TblMili[[#This Row],[Raw (2)]]*(1+race_wizard_strength+IF(TblMili[[#This Row],[Hour]]&gt;72,tech_magical_weaponry_wiz*TblTech[[#This Row],[3-5]],0))</f>
        <v>0</v>
      </c>
    </row>
    <row r="25" spans="1:113" hidden="1" x14ac:dyDescent="0.2">
      <c r="A25" s="137">
        <f>TblRezone[[#This Row],[Hour]]</f>
        <v>22</v>
      </c>
      <c r="B25" s="246">
        <f ca="1">SUM(TblMili[[#This Row],[Unit 1]:[Archmages]])+SUM(OFFSET(TblMili[[#This Row],[Train Unit 1]],-8,0):TblMili[[#This Row],[Train Unit 2]]) + SUM(OFFSET(TblMili[[#This Row],[Train Unit 3]],-11,0):TblMili[[#This Row],[Train AM]]) + TblMili[[#This Row],[Draftees]]</f>
        <v>269</v>
      </c>
      <c r="C25" s="157">
        <f ca="1">TblPop[[#This Row],[Military%]]</f>
        <v>0.28256302521008403</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2450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269</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269</v>
      </c>
      <c r="X25" s="247">
        <f ca="1">TblConstr[[#This Row],[Land]]</f>
        <v>110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269</v>
      </c>
      <c r="AB25" s="154"/>
      <c r="AC25" s="180">
        <f ca="1">(TblConstr[[#This Row],[Tot Smi]]+TblConstr[[#This Row],[Dest Smi]])/(TblConstr[[#This Row],[Land]]-TblExplore[[#This Row],[Land Bonus]]*20)</f>
        <v>0</v>
      </c>
      <c r="AD25" s="137"/>
      <c r="AE25" s="246">
        <f>TblMili[[#This Row],[Hour]]</f>
        <v>22</v>
      </c>
      <c r="AF25" s="138">
        <f ca="1">TblExplore[[#This Row],[Time]]</f>
        <v>46102.624999999949</v>
      </c>
      <c r="AO25" s="420">
        <f ca="1">ROUND(IF(AND(TblMagic[[#This Row],[Active DnD]]&lt;12,TblMagic[[#This Row],[Active DnD]]&gt;5),OFFSET(TblPop[[#This Row],[Draft Growth]],-1,0)*0.375,0),0)</f>
        <v>0</v>
      </c>
      <c r="AP25" s="142"/>
      <c r="AQ25" s="94">
        <f ca="1">TblProd[[#This Row],[Platinum]]</f>
        <v>81936</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46102.624999999949</v>
      </c>
      <c r="AW25" s="94">
        <f ca="1">TblMili[[#This Row],[Draftees]]</f>
        <v>269</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315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0.81818181818181823</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4</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3</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0.1</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5" s="142"/>
      <c r="DH25" s="254">
        <f ca="1">(TblMili[[#This Row],[Wizards]]+2*TblMili[[#This Row],[Archmages]])/TblConstr[[#This Row],[Land]]</f>
        <v>0</v>
      </c>
      <c r="DI25" s="254">
        <f ca="1">TblMili[[#This Row],[Raw (2)]]*(1+race_wizard_strength+IF(TblMili[[#This Row],[Hour]]&gt;72,tech_magical_weaponry_wiz*TblTech[[#This Row],[3-5]],0))</f>
        <v>0</v>
      </c>
    </row>
    <row r="26" spans="1:113" hidden="1" x14ac:dyDescent="0.2">
      <c r="A26" s="137">
        <f>TblRezone[[#This Row],[Hour]]</f>
        <v>23</v>
      </c>
      <c r="B26" s="246">
        <f ca="1">SUM(TblMili[[#This Row],[Unit 1]:[Archmages]])+SUM(OFFSET(TblMili[[#This Row],[Train Unit 1]],-8,0):TblMili[[#This Row],[Train Unit 2]]) + SUM(OFFSET(TblMili[[#This Row],[Train Unit 3]],-11,0):TblMili[[#This Row],[Train AM]]) + TblMili[[#This Row],[Draftees]]</f>
        <v>276</v>
      </c>
      <c r="C26" s="157">
        <f ca="1">TblPop[[#This Row],[Military%]]</f>
        <v>0.2839506172839506</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2450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276</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276</v>
      </c>
      <c r="X26" s="247">
        <f ca="1">TblConstr[[#This Row],[Land]]</f>
        <v>110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276</v>
      </c>
      <c r="AB26" s="154"/>
      <c r="AC26" s="180">
        <f ca="1">(TblConstr[[#This Row],[Tot Smi]]+TblConstr[[#This Row],[Dest Smi]])/(TblConstr[[#This Row],[Land]]-TblExplore[[#This Row],[Land Bonus]]*20)</f>
        <v>0</v>
      </c>
      <c r="AD26" s="137"/>
      <c r="AE26" s="246">
        <f>TblMili[[#This Row],[Hour]]</f>
        <v>23</v>
      </c>
      <c r="AF26" s="138">
        <f ca="1">TblExplore[[#This Row],[Time]]</f>
        <v>46102.666666666613</v>
      </c>
      <c r="AO26" s="420">
        <f ca="1">ROUND(IF(AND(TblMagic[[#This Row],[Active DnD]]&lt;12,TblMagic[[#This Row],[Active DnD]]&gt;5),OFFSET(TblPop[[#This Row],[Draft Growth]],-1,0)*0.375,0),0)</f>
        <v>0</v>
      </c>
      <c r="AP26" s="142"/>
      <c r="AQ26" s="94">
        <f ca="1">TblProd[[#This Row],[Platinum]]</f>
        <v>83780</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46102.666666666613</v>
      </c>
      <c r="AW26" s="94">
        <f ca="1">TblMili[[#This Row],[Draftees]]</f>
        <v>276</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315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0.81818181818181823</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4</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3</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0.1</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6" s="142"/>
      <c r="DH26" s="254">
        <f ca="1">(TblMili[[#This Row],[Wizards]]+2*TblMili[[#This Row],[Archmages]])/TblConstr[[#This Row],[Land]]</f>
        <v>0</v>
      </c>
      <c r="DI26" s="254">
        <f ca="1">TblMili[[#This Row],[Raw (2)]]*(1+race_wizard_strength+IF(TblMili[[#This Row],[Hour]]&gt;72,tech_magical_weaponry_wiz*TblTech[[#This Row],[3-5]],0))</f>
        <v>0</v>
      </c>
    </row>
    <row r="27" spans="1:113" hidden="1" x14ac:dyDescent="0.2">
      <c r="A27" s="137">
        <f>TblRezone[[#This Row],[Hour]]</f>
        <v>24</v>
      </c>
      <c r="B27" s="246">
        <f ca="1">SUM(TblMili[[#This Row],[Unit 1]:[Archmages]])+SUM(OFFSET(TblMili[[#This Row],[Train Unit 1]],-8,0):TblMili[[#This Row],[Train Unit 2]]) + SUM(OFFSET(TblMili[[#This Row],[Train Unit 3]],-11,0):TblMili[[#This Row],[Train AM]]) + TblMili[[#This Row],[Draftees]]</f>
        <v>283</v>
      </c>
      <c r="C27" s="157">
        <f ca="1">TblPop[[#This Row],[Military%]]</f>
        <v>0.28499496475327291</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2450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283</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283</v>
      </c>
      <c r="X27" s="247">
        <f ca="1">TblConstr[[#This Row],[Land]]</f>
        <v>110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283</v>
      </c>
      <c r="AB27" s="154"/>
      <c r="AC27" s="180">
        <f ca="1">(TblConstr[[#This Row],[Tot Smi]]+TblConstr[[#This Row],[Dest Smi]])/(TblConstr[[#This Row],[Land]]-TblExplore[[#This Row],[Land Bonus]]*20)</f>
        <v>0</v>
      </c>
      <c r="AD27" s="137"/>
      <c r="AE27" s="246">
        <f>TblMili[[#This Row],[Hour]]</f>
        <v>24</v>
      </c>
      <c r="AF27" s="138">
        <f ca="1">TblExplore[[#This Row],[Time]]</f>
        <v>46102.708333333278</v>
      </c>
      <c r="AO27" s="420">
        <f ca="1">ROUND(IF(AND(TblMagic[[#This Row],[Active DnD]]&lt;12,TblMagic[[#This Row],[Active DnD]]&gt;5),OFFSET(TblPop[[#This Row],[Draft Growth]],-1,0)*0.375,0),0)</f>
        <v>0</v>
      </c>
      <c r="AP27" s="142"/>
      <c r="AQ27" s="94">
        <f ca="1">TblProd[[#This Row],[Platinum]]</f>
        <v>85659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46102.708333333278</v>
      </c>
      <c r="AW27" s="94">
        <f ca="1">TblMili[[#This Row],[Draftees]]</f>
        <v>283</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315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0.81818181818181823</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4</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3</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0.1</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290</v>
      </c>
      <c r="C28" s="157">
        <f ca="1">TblPop[[#This Row],[Military%]]</f>
        <v>0.28599605522682447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2450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290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290</v>
      </c>
      <c r="X28" s="247">
        <f ca="1">TblConstr[[#This Row],[Land]]</f>
        <v>110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28" s="154"/>
      <c r="AC28" s="180">
        <f ca="1">(TblConstr[[#This Row],[Tot Smi]]+TblConstr[[#This Row],[Dest Smi]])/(TblConstr[[#This Row],[Land]]-TblExplore[[#This Row],[Land Bonus]]*20)</f>
        <v>0</v>
      </c>
      <c r="AD28" s="137"/>
      <c r="AE28" s="246">
        <f>TblMili[[#This Row],[Hour]]</f>
        <v>25</v>
      </c>
      <c r="AF28" s="138">
        <f ca="1">TblExplore[[#This Row],[Time]]</f>
        <v>46102.749999999942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87576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46102.749999999942</v>
      </c>
      <c r="AW28" s="94">
        <f ca="1">TblMili[[#This Row],[Draftees]]</f>
        <v>290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315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0.81818181818181823</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4</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3</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0.1</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297</v>
      </c>
      <c r="C29" s="157">
        <f ca="1">TblPop[[#This Row],[Military%]]</f>
        <v>0.28667953667953666</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2450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297</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297</v>
      </c>
      <c r="X29" s="247">
        <f ca="1">TblConstr[[#This Row],[Land]]</f>
        <v>110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297</v>
      </c>
      <c r="AB29" s="154"/>
      <c r="AC29" s="180">
        <f ca="1">(TblConstr[[#This Row],[Tot Smi]]+TblConstr[[#This Row],[Dest Smi]])/(TblConstr[[#This Row],[Land]]-TblExplore[[#This Row],[Land Bonus]]*20)</f>
        <v>0</v>
      </c>
      <c r="AD29" s="137"/>
      <c r="AE29" s="246">
        <f>TblMili[[#This Row],[Hour]]</f>
        <v>26</v>
      </c>
      <c r="AF29" s="138">
        <f ca="1">TblExplore[[#This Row],[Time]]</f>
        <v>46102.791666666606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89530</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46102.791666666606</v>
      </c>
      <c r="AW29" s="94">
        <f ca="1">TblMili[[#This Row],[Draftees]]</f>
        <v>297</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315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0.81818181818181823</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4</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3</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0.1</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304</v>
      </c>
      <c r="C30" s="157">
        <f ca="1">TblPop[[#This Row],[Military%]]</f>
        <v>0.28733459357277885</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2450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304</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304</v>
      </c>
      <c r="X30" s="247">
        <f ca="1">TblConstr[[#This Row],[Land]]</f>
        <v>110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304</v>
      </c>
      <c r="AB30" s="154"/>
      <c r="AC30" s="180">
        <f ca="1">(TblConstr[[#This Row],[Tot Smi]]+TblConstr[[#This Row],[Dest Smi]])/(TblConstr[[#This Row],[Land]]-TblExplore[[#This Row],[Land Bonus]]*20)</f>
        <v>0</v>
      </c>
      <c r="AD30" s="137"/>
      <c r="AE30" s="246">
        <f>TblMili[[#This Row],[Hour]]</f>
        <v>27</v>
      </c>
      <c r="AF30" s="138">
        <f ca="1">TblExplore[[#This Row],[Time]]</f>
        <v>46102.83333333327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91525</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46102.83333333327</v>
      </c>
      <c r="AW30" s="94">
        <f ca="1">TblMili[[#This Row],[Draftees]]</f>
        <v>304</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315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0.81818181818181823</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4</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3</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0.1</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312</v>
      </c>
      <c r="C31" s="157">
        <f ca="1">TblPop[[#This Row],[Military%]]</f>
        <v>0.2899628252788104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2450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312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312</v>
      </c>
      <c r="X31" s="247">
        <f ca="1">TblConstr[[#This Row],[Land]]</f>
        <v>110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312</v>
      </c>
      <c r="AB31" s="154"/>
      <c r="AC31" s="180">
        <f ca="1">(TblConstr[[#This Row],[Tot Smi]]+TblConstr[[#This Row],[Dest Smi]])/(TblConstr[[#This Row],[Land]]-TblExplore[[#This Row],[Land Bonus]]*20)</f>
        <v>0</v>
      </c>
      <c r="AD31" s="137"/>
      <c r="AE31" s="246">
        <f>TblMili[[#This Row],[Hour]]</f>
        <v>28</v>
      </c>
      <c r="AF31" s="138">
        <f ca="1">TblExplore[[#This Row],[Time]]</f>
        <v>46102.874999999935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93560</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46102.874999999935</v>
      </c>
      <c r="AW31" s="94">
        <f ca="1">TblMili[[#This Row],[Draftees]]</f>
        <v>312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315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0.81818181818181823</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4</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3</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0.1</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320</v>
      </c>
      <c r="C32" s="157">
        <f ca="1">TblPop[[#This Row],[Military%]]</f>
        <v>0.29739776951672864</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2450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320</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320</v>
      </c>
      <c r="X32" s="247">
        <f ca="1">TblConstr[[#This Row],[Land]]</f>
        <v>110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32" s="154"/>
      <c r="AC32" s="180">
        <f ca="1">(TblConstr[[#This Row],[Tot Smi]]+TblConstr[[#This Row],[Dest Smi]])/(TblConstr[[#This Row],[Land]]-TblExplore[[#This Row],[Land Bonus]]*20)</f>
        <v>0</v>
      </c>
      <c r="AD32" s="137"/>
      <c r="AE32" s="246">
        <f>TblMili[[#This Row],[Hour]]</f>
        <v>29</v>
      </c>
      <c r="AF32" s="138">
        <f ca="1">TblExplore[[#This Row],[Time]]</f>
        <v>46102.916666666599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95622</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46102.916666666599</v>
      </c>
      <c r="AW32" s="94">
        <f ca="1">TblMili[[#This Row],[Draftees]]</f>
        <v>320</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315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0.81818181818181823</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4</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3</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0.1</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328</v>
      </c>
      <c r="C33" s="157">
        <f ca="1">TblPop[[#This Row],[Military%]]</f>
        <v>0.30483271375464682</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2450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328</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328</v>
      </c>
      <c r="X33" s="247">
        <f ca="1">TblConstr[[#This Row],[Land]]</f>
        <v>110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33" s="154"/>
      <c r="AC33" s="180">
        <f ca="1">(TblConstr[[#This Row],[Tot Smi]]+TblConstr[[#This Row],[Dest Smi]])/(TblConstr[[#This Row],[Land]]-TblExplore[[#This Row],[Land Bonus]]*20)</f>
        <v>0</v>
      </c>
      <c r="AD33" s="137"/>
      <c r="AE33" s="246">
        <f>TblMili[[#This Row],[Hour]]</f>
        <v>30</v>
      </c>
      <c r="AF33" s="138">
        <f ca="1">TblExplore[[#This Row],[Time]]</f>
        <v>46102.958333333263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97663</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46102.958333333263</v>
      </c>
      <c r="AW33" s="94">
        <f ca="1">TblMili[[#This Row],[Draftees]]</f>
        <v>328</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315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0.81818181818181823</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4</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3</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0.1</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335</v>
      </c>
      <c r="C34" s="157">
        <f ca="1">TblPop[[#This Row],[Military%]]</f>
        <v>0.31133828996282525</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2450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335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335</v>
      </c>
      <c r="X34" s="247">
        <f ca="1">TblConstr[[#This Row],[Land]]</f>
        <v>110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335</v>
      </c>
      <c r="AB34" s="154"/>
      <c r="AC34" s="180">
        <f ca="1">(TblConstr[[#This Row],[Tot Smi]]+TblConstr[[#This Row],[Dest Smi]])/(TblConstr[[#This Row],[Land]]-TblExplore[[#This Row],[Land Bonus]]*20)</f>
        <v>0</v>
      </c>
      <c r="AD34" s="137"/>
      <c r="AE34" s="246">
        <f>TblMili[[#This Row],[Hour]]</f>
        <v>31</v>
      </c>
      <c r="AF34" s="138">
        <f ca="1">TblExplore[[#This Row],[Time]]</f>
        <v>46102.999999999927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99682</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46102.999999999927</v>
      </c>
      <c r="AW34" s="94">
        <f ca="1">TblMili[[#This Row],[Draftees]]</f>
        <v>335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315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0.81818181818181823</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4</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3</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0.1</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342</v>
      </c>
      <c r="C35" s="157">
        <f ca="1">TblPop[[#This Row],[Military%]]</f>
        <v>0.31784386617100374</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2450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342</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342</v>
      </c>
      <c r="X35" s="247">
        <f ca="1">TblConstr[[#This Row],[Land]]</f>
        <v>110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342</v>
      </c>
      <c r="AB35" s="154"/>
      <c r="AC35" s="180">
        <f ca="1">(TblConstr[[#This Row],[Tot Smi]]+TblConstr[[#This Row],[Dest Smi]])/(TblConstr[[#This Row],[Land]]-TblExplore[[#This Row],[Land Bonus]]*20)</f>
        <v>0</v>
      </c>
      <c r="AD35" s="137"/>
      <c r="AE35" s="246">
        <f>TblMili[[#This Row],[Hour]]</f>
        <v>32</v>
      </c>
      <c r="AF35" s="138">
        <f ca="1">TblExplore[[#This Row],[Time]]</f>
        <v>46103.041666666591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101682</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46103.041666666591</v>
      </c>
      <c r="AW35" s="94">
        <f ca="1">TblMili[[#This Row],[Draftees]]</f>
        <v>342</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315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0.81818181818181823</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4</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3</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0.1</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349</v>
      </c>
      <c r="C36" s="157">
        <f ca="1">TblPop[[#This Row],[Military%]]</f>
        <v>0.32434944237918217</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2450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349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349</v>
      </c>
      <c r="X36" s="247">
        <f ca="1">TblConstr[[#This Row],[Land]]</f>
        <v>110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349</v>
      </c>
      <c r="AB36" s="154"/>
      <c r="AC36" s="180">
        <f ca="1">(TblConstr[[#This Row],[Tot Smi]]+TblConstr[[#This Row],[Dest Smi]])/(TblConstr[[#This Row],[Land]]-TblExplore[[#This Row],[Land Bonus]]*20)</f>
        <v>0</v>
      </c>
      <c r="AD36" s="137"/>
      <c r="AE36" s="246">
        <f>TblMili[[#This Row],[Hour]]</f>
        <v>33</v>
      </c>
      <c r="AF36" s="138">
        <f ca="1">TblExplore[[#This Row],[Time]]</f>
        <v>46103.083333333256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103663</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46103.083333333256</v>
      </c>
      <c r="AW36" s="94">
        <f ca="1">TblMili[[#This Row],[Draftees]]</f>
        <v>349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315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0.81818181818181823</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4</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3</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0.1</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356</v>
      </c>
      <c r="C37" s="157">
        <f ca="1">TblPop[[#This Row],[Military%]]</f>
        <v>0.33085501858736061</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2450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356</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356</v>
      </c>
      <c r="X37" s="247">
        <f ca="1">TblConstr[[#This Row],[Land]]</f>
        <v>110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37" s="154"/>
      <c r="AC37" s="180">
        <f ca="1">(TblConstr[[#This Row],[Tot Smi]]+TblConstr[[#This Row],[Dest Smi]])/(TblConstr[[#This Row],[Land]]-TblExplore[[#This Row],[Land Bonus]]*20)</f>
        <v>0</v>
      </c>
      <c r="AD37" s="137"/>
      <c r="AE37" s="246">
        <f>TblMili[[#This Row],[Hour]]</f>
        <v>34</v>
      </c>
      <c r="AF37" s="138">
        <f ca="1">TblExplore[[#This Row],[Time]]</f>
        <v>46103.12499999992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105625</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46103.12499999992</v>
      </c>
      <c r="AW37" s="94">
        <f ca="1">TblMili[[#This Row],[Draftees]]</f>
        <v>356</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315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0.81818181818181823</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4</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3</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0.1</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363</v>
      </c>
      <c r="C38" s="157">
        <f ca="1">TblPop[[#This Row],[Military%]]</f>
        <v>0.33736059479553904</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2450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363</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363</v>
      </c>
      <c r="X38" s="247">
        <f ca="1">TblConstr[[#This Row],[Land]]</f>
        <v>110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363</v>
      </c>
      <c r="AB38" s="154"/>
      <c r="AC38" s="180">
        <f ca="1">(TblConstr[[#This Row],[Tot Smi]]+TblConstr[[#This Row],[Dest Smi]])/(TblConstr[[#This Row],[Land]]-TblExplore[[#This Row],[Land Bonus]]*20)</f>
        <v>0</v>
      </c>
      <c r="AD38" s="137"/>
      <c r="AE38" s="246">
        <f>TblMili[[#This Row],[Hour]]</f>
        <v>35</v>
      </c>
      <c r="AF38" s="138">
        <f ca="1">TblExplore[[#This Row],[Time]]</f>
        <v>46103.166666666584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107569</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46103.166666666584</v>
      </c>
      <c r="AW38" s="94">
        <f ca="1">TblMili[[#This Row],[Draftees]]</f>
        <v>363</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315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0.81818181818181823</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4</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3</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0.1</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370</v>
      </c>
      <c r="C39" s="157">
        <f ca="1">TblPop[[#This Row],[Military%]]</f>
        <v>0.34386617100371747</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2450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370</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370</v>
      </c>
      <c r="X39" s="247">
        <f ca="1">TblConstr[[#This Row],[Land]]</f>
        <v>110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370</v>
      </c>
      <c r="AB39" s="154"/>
      <c r="AC39" s="180">
        <f ca="1">(TblConstr[[#This Row],[Tot Smi]]+TblConstr[[#This Row],[Dest Smi]])/(TblConstr[[#This Row],[Land]]-TblExplore[[#This Row],[Land Bonus]]*20)</f>
        <v>0</v>
      </c>
      <c r="AD39" s="137"/>
      <c r="AE39" s="246">
        <f>TblMili[[#This Row],[Hour]]</f>
        <v>36</v>
      </c>
      <c r="AF39" s="138">
        <f ca="1">TblExplore[[#This Row],[Time]]</f>
        <v>46103.208333333248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109494</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46103.208333333248</v>
      </c>
      <c r="AW39" s="94">
        <f ca="1">TblMili[[#This Row],[Draftees]]</f>
        <v>370</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315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0.81818181818181823</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4</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3</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0.1</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377</v>
      </c>
      <c r="C40" s="165">
        <f ca="1">TblPop[[#This Row],[Military%]]</f>
        <v>0.3503717472118959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2450</v>
      </c>
      <c r="O40" s="149"/>
      <c r="P40" s="448">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448">
        <f ca="1">TblMili[[#This Row],[Non Draft]]+TblMili[[#This Row],[Draftees]]</f>
        <v>377</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377</v>
      </c>
      <c r="X40" s="448">
        <f ca="1">TblConstr[[#This Row],[Land]]</f>
        <v>110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40" s="162"/>
      <c r="AC40" s="436">
        <f ca="1">(TblConstr[[#This Row],[Tot Smi]]+TblConstr[[#This Row],[Dest Smi]])/(TblConstr[[#This Row],[Land]]-TblExplore[[#This Row],[Land Bonus]]*20)</f>
        <v>0</v>
      </c>
      <c r="AD40" s="144"/>
      <c r="AE40" s="258">
        <f>TblMili[[#This Row],[Hour]]</f>
        <v>37</v>
      </c>
      <c r="AF40" s="145">
        <f ca="1">TblExplore[[#This Row],[Time]]</f>
        <v>46103.249999999913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111400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46103.249999999913</v>
      </c>
      <c r="AW40" s="35">
        <f ca="1">TblMili[[#This Row],[Draftees]]</f>
        <v>377</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315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0.81818181818181823</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4</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3</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Infernal Command]]&gt;0,TblMili[[#This Row],[Unit 1]]*infernal_cmd_op,0)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0.1</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384</v>
      </c>
      <c r="C41" s="157">
        <f ca="1">TblPop[[#This Row],[Military%]]</f>
        <v>0.35687732342007433</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2450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384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384</v>
      </c>
      <c r="X41" s="247">
        <f ca="1">TblConstr[[#This Row],[Land]]</f>
        <v>110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41" s="154"/>
      <c r="AC41" s="180">
        <f ca="1">(TblConstr[[#This Row],[Tot Smi]]+TblConstr[[#This Row],[Dest Smi]])/(TblConstr[[#This Row],[Land]]-TblExplore[[#This Row],[Land Bonus]]*20)</f>
        <v>0</v>
      </c>
      <c r="AD41" s="137"/>
      <c r="AE41" s="246">
        <f>TblMili[[#This Row],[Hour]]</f>
        <v>38</v>
      </c>
      <c r="AF41" s="138">
        <f ca="1">TblExplore[[#This Row],[Time]]</f>
        <v>46103.291666666577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113287</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46103.291666666577</v>
      </c>
      <c r="AW41" s="94">
        <f ca="1">TblMili[[#This Row],[Draftees]]</f>
        <v>384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315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0.81818181818181823</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4</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3</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0.1</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391</v>
      </c>
      <c r="C42" s="157">
        <f ca="1">TblPop[[#This Row],[Military%]]</f>
        <v>0.36338289962825276</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2450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391</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391</v>
      </c>
      <c r="X42" s="247">
        <f ca="1">TblConstr[[#This Row],[Land]]</f>
        <v>110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391</v>
      </c>
      <c r="AB42" s="154"/>
      <c r="AC42" s="180">
        <f ca="1">(TblConstr[[#This Row],[Tot Smi]]+TblConstr[[#This Row],[Dest Smi]])/(TblConstr[[#This Row],[Land]]-TblExplore[[#This Row],[Land Bonus]]*20)</f>
        <v>0</v>
      </c>
      <c r="AD42" s="137"/>
      <c r="AE42" s="246">
        <f>TblMili[[#This Row],[Hour]]</f>
        <v>39</v>
      </c>
      <c r="AF42" s="138">
        <f ca="1">TblExplore[[#This Row],[Time]]</f>
        <v>46103.333333333241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115155</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46103.333333333241</v>
      </c>
      <c r="AW42" s="94">
        <f ca="1">TblMili[[#This Row],[Draftees]]</f>
        <v>391</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315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0.81818181818181823</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4</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3</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0.1</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398</v>
      </c>
      <c r="C43" s="157">
        <f ca="1">TblPop[[#This Row],[Military%]]</f>
        <v>0.36988847583643125</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2450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398</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398</v>
      </c>
      <c r="X43" s="247">
        <f ca="1">TblConstr[[#This Row],[Land]]</f>
        <v>110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398</v>
      </c>
      <c r="AB43" s="154"/>
      <c r="AC43" s="180">
        <f ca="1">(TblConstr[[#This Row],[Tot Smi]]+TblConstr[[#This Row],[Dest Smi]])/(TblConstr[[#This Row],[Land]]-TblExplore[[#This Row],[Land Bonus]]*20)</f>
        <v>0</v>
      </c>
      <c r="AD43" s="137"/>
      <c r="AE43" s="246">
        <f>TblMili[[#This Row],[Hour]]</f>
        <v>40</v>
      </c>
      <c r="AF43" s="138">
        <f ca="1">TblExplore[[#This Row],[Time]]</f>
        <v>46103.374999999905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117004</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46103.374999999905</v>
      </c>
      <c r="AW43" s="94">
        <f ca="1">TblMili[[#This Row],[Draftees]]</f>
        <v>398</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315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0.81818181818181823</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4</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3</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0.1</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405</v>
      </c>
      <c r="C44" s="157">
        <f ca="1">TblPop[[#This Row],[Military%]]</f>
        <v>0.37639405204460968</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2450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405</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405</v>
      </c>
      <c r="X44" s="247">
        <f ca="1">TblConstr[[#This Row],[Land]]</f>
        <v>110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405</v>
      </c>
      <c r="AB44" s="154"/>
      <c r="AC44" s="180">
        <f ca="1">(TblConstr[[#This Row],[Tot Smi]]+TblConstr[[#This Row],[Dest Smi]])/(TblConstr[[#This Row],[Land]]-TblExplore[[#This Row],[Land Bonus]]*20)</f>
        <v>0</v>
      </c>
      <c r="AD44" s="137"/>
      <c r="AE44" s="246">
        <f>TblMili[[#This Row],[Hour]]</f>
        <v>41</v>
      </c>
      <c r="AF44" s="138">
        <f ca="1">TblExplore[[#This Row],[Time]]</f>
        <v>46103.41666666657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118834</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46103.41666666657</v>
      </c>
      <c r="AW44" s="94">
        <f ca="1">TblMili[[#This Row],[Draftees]]</f>
        <v>405</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315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0.81818181818181823</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4</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3</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0.1</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412</v>
      </c>
      <c r="C45" s="157">
        <f ca="1">TblPop[[#This Row],[Military%]]</f>
        <v>0.38289962825278812</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2450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412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412</v>
      </c>
      <c r="X45" s="247">
        <f ca="1">TblConstr[[#This Row],[Land]]</f>
        <v>110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45" s="154"/>
      <c r="AC45" s="180">
        <f ca="1">(TblConstr[[#This Row],[Tot Smi]]+TblConstr[[#This Row],[Dest Smi]])/(TblConstr[[#This Row],[Land]]-TblExplore[[#This Row],[Land Bonus]]*20)</f>
        <v>0</v>
      </c>
      <c r="AD45" s="137"/>
      <c r="AE45" s="246">
        <f>TblMili[[#This Row],[Hour]]</f>
        <v>42</v>
      </c>
      <c r="AF45" s="138">
        <f ca="1">TblExplore[[#This Row],[Time]]</f>
        <v>46103.458333333234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120645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46103.458333333234</v>
      </c>
      <c r="AW45" s="94">
        <f ca="1">TblMili[[#This Row],[Draftees]]</f>
        <v>412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315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0.81818181818181823</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4</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3</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0.1</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419</v>
      </c>
      <c r="C46" s="157">
        <f ca="1">TblPop[[#This Row],[Military%]]</f>
        <v>0.38940520446096655</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2450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419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419</v>
      </c>
      <c r="X46" s="247">
        <f ca="1">TblConstr[[#This Row],[Land]]</f>
        <v>110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419</v>
      </c>
      <c r="AB46" s="154"/>
      <c r="AC46" s="180">
        <f ca="1">(TblConstr[[#This Row],[Tot Smi]]+TblConstr[[#This Row],[Dest Smi]])/(TblConstr[[#This Row],[Land]]-TblExplore[[#This Row],[Land Bonus]]*20)</f>
        <v>0</v>
      </c>
      <c r="AD46" s="137"/>
      <c r="AE46" s="246">
        <f>TblMili[[#This Row],[Hour]]</f>
        <v>43</v>
      </c>
      <c r="AF46" s="138">
        <f ca="1">TblExplore[[#This Row],[Time]]</f>
        <v>46103.499999999898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122437</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46103.499999999898</v>
      </c>
      <c r="AW46" s="94">
        <f ca="1">TblMili[[#This Row],[Draftees]]</f>
        <v>419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315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0.81818181818181823</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4</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3</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0.1</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426</v>
      </c>
      <c r="C47" s="157">
        <f ca="1">TblPop[[#This Row],[Military%]]</f>
        <v>0.39591078066914498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2450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426</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426</v>
      </c>
      <c r="X47" s="247">
        <f ca="1">TblConstr[[#This Row],[Land]]</f>
        <v>110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47" s="154"/>
      <c r="AC47" s="180">
        <f ca="1">(TblConstr[[#This Row],[Tot Smi]]+TblConstr[[#This Row],[Dest Smi]])/(TblConstr[[#This Row],[Land]]-TblExplore[[#This Row],[Land Bonus]]*20)</f>
        <v>0</v>
      </c>
      <c r="AD47" s="137"/>
      <c r="AE47" s="246">
        <f>TblMili[[#This Row],[Hour]]</f>
        <v>44</v>
      </c>
      <c r="AF47" s="138">
        <f ca="1">TblExplore[[#This Row],[Time]]</f>
        <v>46103.541666666562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124210</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46103.541666666562</v>
      </c>
      <c r="AW47" s="94">
        <f ca="1">TblMili[[#This Row],[Draftees]]</f>
        <v>426</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315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0.81818181818181823</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4</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3</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0.1</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433</v>
      </c>
      <c r="C48" s="157">
        <f ca="1">TblPop[[#This Row],[Military%]]</f>
        <v>0.40241635687732341</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2450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433</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433</v>
      </c>
      <c r="X48" s="247">
        <f ca="1">TblConstr[[#This Row],[Land]]</f>
        <v>110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433</v>
      </c>
      <c r="AB48" s="154"/>
      <c r="AC48" s="180">
        <f ca="1">(TblConstr[[#This Row],[Tot Smi]]+TblConstr[[#This Row],[Dest Smi]])/(TblConstr[[#This Row],[Land]]-TblExplore[[#This Row],[Land Bonus]]*20)</f>
        <v>0</v>
      </c>
      <c r="AD48" s="137"/>
      <c r="AE48" s="246">
        <f>TblMili[[#This Row],[Hour]]</f>
        <v>45</v>
      </c>
      <c r="AF48" s="138">
        <f ca="1">TblExplore[[#This Row],[Time]]</f>
        <v>46103.583333333227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125965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46103.583333333227</v>
      </c>
      <c r="AW48" s="94">
        <f ca="1">TblMili[[#This Row],[Draftees]]</f>
        <v>433</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315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0.81818181818181823</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4</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3</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0.1</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439</v>
      </c>
      <c r="C49" s="157">
        <f ca="1">TblPop[[#This Row],[Military%]]</f>
        <v>0.40799256505576209</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2450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439</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439</v>
      </c>
      <c r="X49" s="247">
        <f ca="1">TblConstr[[#This Row],[Land]]</f>
        <v>110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439</v>
      </c>
      <c r="AB49" s="154"/>
      <c r="AC49" s="180">
        <f ca="1">(TblConstr[[#This Row],[Tot Smi]]+TblConstr[[#This Row],[Dest Smi]])/(TblConstr[[#This Row],[Land]]-TblExplore[[#This Row],[Land Bonus]]*20)</f>
        <v>0</v>
      </c>
      <c r="AD49" s="137"/>
      <c r="AE49" s="246">
        <f>TblMili[[#This Row],[Hour]]</f>
        <v>46</v>
      </c>
      <c r="AF49" s="138">
        <f ca="1">TblExplore[[#This Row],[Time]]</f>
        <v>46103.624999999891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127701</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46103.624999999891</v>
      </c>
      <c r="AW49" s="94">
        <f ca="1">TblMili[[#This Row],[Draftees]]</f>
        <v>439</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315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0.81818181818181823</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4</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3</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0.1</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445</v>
      </c>
      <c r="C50" s="157">
        <f ca="1">TblPop[[#This Row],[Military%]]</f>
        <v>0.41356877323420077</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2450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445</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445</v>
      </c>
      <c r="X50" s="247">
        <f ca="1">TblConstr[[#This Row],[Land]]</f>
        <v>110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445</v>
      </c>
      <c r="AB50" s="154"/>
      <c r="AC50" s="180">
        <f ca="1">(TblConstr[[#This Row],[Tot Smi]]+TblConstr[[#This Row],[Dest Smi]])/(TblConstr[[#This Row],[Land]]-TblExplore[[#This Row],[Land Bonus]]*20)</f>
        <v>0</v>
      </c>
      <c r="AD50" s="137"/>
      <c r="AE50" s="246">
        <f>TblMili[[#This Row],[Hour]]</f>
        <v>47</v>
      </c>
      <c r="AF50" s="138">
        <f ca="1">TblExplore[[#This Row],[Time]]</f>
        <v>46103.666666666555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129420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46103.666666666555</v>
      </c>
      <c r="AW50" s="94">
        <f ca="1">TblMili[[#This Row],[Draftees]]</f>
        <v>445</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315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0.81818181818181823</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4</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3</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0.1</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451</v>
      </c>
      <c r="C51" s="157">
        <f ca="1">TblPop[[#This Row],[Military%]]</f>
        <v>0.41914498141263939</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2450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451</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451</v>
      </c>
      <c r="X51" s="247">
        <f ca="1">TblConstr[[#This Row],[Land]]</f>
        <v>110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451</v>
      </c>
      <c r="AB51" s="154"/>
      <c r="AC51" s="180">
        <f ca="1">(TblConstr[[#This Row],[Tot Smi]]+TblConstr[[#This Row],[Dest Smi]])/(TblConstr[[#This Row],[Land]]-TblExplore[[#This Row],[Land Bonus]]*20)</f>
        <v>0</v>
      </c>
      <c r="AD51" s="137"/>
      <c r="AE51" s="246">
        <f>TblMili[[#This Row],[Hour]]</f>
        <v>48</v>
      </c>
      <c r="AF51" s="138">
        <f ca="1">TblExplore[[#This Row],[Time]]</f>
        <v>46103.708333333219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131123</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46103.708333333219</v>
      </c>
      <c r="AW51" s="94">
        <f ca="1">TblMili[[#This Row],[Draftees]]</f>
        <v>451</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315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0.81818181818181823</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4</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3</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0.1</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457</v>
      </c>
      <c r="C52" s="157">
        <f ca="1">TblPop[[#This Row],[Military%]]</f>
        <v>0.42472118959107807</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2450</v>
      </c>
      <c r="O52" s="142"/>
      <c r="P5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247">
        <f ca="1">TblMili[[#This Row],[Non Draft]]+TblMili[[#This Row],[Draftees]]</f>
        <v>457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457</v>
      </c>
      <c r="X52" s="247">
        <f ca="1">TblConstr[[#This Row],[Land]]</f>
        <v>110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457</v>
      </c>
      <c r="AB52" s="154"/>
      <c r="AC52" s="180">
        <f ca="1">(TblConstr[[#This Row],[Tot Smi]]+TblConstr[[#This Row],[Dest Smi]])/(TblConstr[[#This Row],[Land]]-TblExplore[[#This Row],[Land Bonus]]*20)</f>
        <v>0</v>
      </c>
      <c r="AD52" s="256"/>
      <c r="AE52" s="257">
        <f>TblMili[[#This Row],[Hour]]</f>
        <v>49</v>
      </c>
      <c r="AF52" s="138">
        <f ca="1">TblExplore[[#This Row],[Time]]</f>
        <v>46103.749999999884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132810</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46103.749999999884</v>
      </c>
      <c r="AW52" s="94">
        <f ca="1">TblMili[[#This Row],[Draftees]]</f>
        <v>457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315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0.81818181818181823</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4</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3</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Infernal Command]]&gt;0,TblMili[[#This Row],[Unit 1]]*infernal_cmd_op,0)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0.1</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463</v>
      </c>
      <c r="C53" s="157">
        <f ca="1">TblPop[[#This Row],[Military%]]</f>
        <v>0.43029739776951675</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2450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463</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463</v>
      </c>
      <c r="X53" s="247">
        <f ca="1">TblConstr[[#This Row],[Land]]</f>
        <v>110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463</v>
      </c>
      <c r="AB53" s="154"/>
      <c r="AC53" s="180">
        <f ca="1">(TblConstr[[#This Row],[Tot Smi]]+TblConstr[[#This Row],[Dest Smi]])/(TblConstr[[#This Row],[Land]]-TblExplore[[#This Row],[Land Bonus]]*20)</f>
        <v>0</v>
      </c>
      <c r="AD53" s="137"/>
      <c r="AE53" s="246">
        <f>TblMili[[#This Row],[Hour]]</f>
        <v>50</v>
      </c>
      <c r="AF53" s="138">
        <f ca="1">TblExplore[[#This Row],[Time]]</f>
        <v>46103.791666666548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134481</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46103.791666666548</v>
      </c>
      <c r="AW53" s="94">
        <f ca="1">TblMili[[#This Row],[Draftees]]</f>
        <v>463</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315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0.81818181818181823</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4</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3</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0.1</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469</v>
      </c>
      <c r="C54" s="157">
        <f ca="1">TblPop[[#This Row],[Military%]]</f>
        <v>0.43587360594795538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2450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469</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469</v>
      </c>
      <c r="X54" s="247">
        <f ca="1">TblConstr[[#This Row],[Land]]</f>
        <v>110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469</v>
      </c>
      <c r="AB54" s="154"/>
      <c r="AC54" s="180">
        <f ca="1">(TblConstr[[#This Row],[Tot Smi]]+TblConstr[[#This Row],[Dest Smi]])/(TblConstr[[#This Row],[Land]]-TblExplore[[#This Row],[Land Bonus]]*20)</f>
        <v>0</v>
      </c>
      <c r="AD54" s="137"/>
      <c r="AE54" s="246">
        <f>TblMili[[#This Row],[Hour]]</f>
        <v>51</v>
      </c>
      <c r="AF54" s="138">
        <f ca="1">TblExplore[[#This Row],[Time]]</f>
        <v>46103.833333333212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136136</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46103.833333333212</v>
      </c>
      <c r="AW54" s="94">
        <f ca="1">TblMili[[#This Row],[Draftees]]</f>
        <v>469</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315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0.81818181818181823</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4</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3</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0.1</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475</v>
      </c>
      <c r="C55" s="157">
        <f ca="1">TblPop[[#This Row],[Military%]]</f>
        <v>0.44144981412639406</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2450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475</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475</v>
      </c>
      <c r="X55" s="247">
        <f ca="1">TblConstr[[#This Row],[Land]]</f>
        <v>110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475</v>
      </c>
      <c r="AB55" s="154"/>
      <c r="AC55" s="180">
        <f ca="1">(TblConstr[[#This Row],[Tot Smi]]+TblConstr[[#This Row],[Dest Smi]])/(TblConstr[[#This Row],[Land]]-TblExplore[[#This Row],[Land Bonus]]*20)</f>
        <v>0</v>
      </c>
      <c r="AD55" s="137"/>
      <c r="AE55" s="246">
        <f>TblMili[[#This Row],[Hour]]</f>
        <v>52</v>
      </c>
      <c r="AF55" s="138">
        <f ca="1">TblExplore[[#This Row],[Time]]</f>
        <v>46103.874999999876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137774</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46103.874999999876</v>
      </c>
      <c r="AW55" s="94">
        <f ca="1">TblMili[[#This Row],[Draftees]]</f>
        <v>475</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315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0.81818181818181823</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4</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3</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0.1</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481</v>
      </c>
      <c r="C56" s="157">
        <f ca="1">TblPop[[#This Row],[Military%]]</f>
        <v>0.44702602230483274</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2450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481</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481</v>
      </c>
      <c r="X56" s="247">
        <f ca="1">TblConstr[[#This Row],[Land]]</f>
        <v>110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56" s="154"/>
      <c r="AC56" s="180">
        <f ca="1">(TblConstr[[#This Row],[Tot Smi]]+TblConstr[[#This Row],[Dest Smi]])/(TblConstr[[#This Row],[Land]]-TblExplore[[#This Row],[Land Bonus]]*20)</f>
        <v>0</v>
      </c>
      <c r="AD56" s="137"/>
      <c r="AE56" s="246">
        <f>TblMili[[#This Row],[Hour]]</f>
        <v>53</v>
      </c>
      <c r="AF56" s="138">
        <f ca="1">TblExplore[[#This Row],[Time]]</f>
        <v>46103.916666666541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139396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46103.916666666541</v>
      </c>
      <c r="AW56" s="94">
        <f ca="1">TblMili[[#This Row],[Draftees]]</f>
        <v>481</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315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0.81818181818181823</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4</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3</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0.1</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487</v>
      </c>
      <c r="C57" s="157">
        <f ca="1">TblPop[[#This Row],[Military%]]</f>
        <v>0.45260223048327136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2450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487</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487</v>
      </c>
      <c r="X57" s="247">
        <f ca="1">TblConstr[[#This Row],[Land]]</f>
        <v>110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487</v>
      </c>
      <c r="AB57" s="154"/>
      <c r="AC57" s="180">
        <f ca="1">(TblConstr[[#This Row],[Tot Smi]]+TblConstr[[#This Row],[Dest Smi]])/(TblConstr[[#This Row],[Land]]-TblExplore[[#This Row],[Land Bonus]]*20)</f>
        <v>0</v>
      </c>
      <c r="AD57" s="137"/>
      <c r="AE57" s="246">
        <f>TblMili[[#This Row],[Hour]]</f>
        <v>54</v>
      </c>
      <c r="AF57" s="138">
        <f ca="1">TblExplore[[#This Row],[Time]]</f>
        <v>46103.958333333205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141002</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46103.958333333205</v>
      </c>
      <c r="AW57" s="94">
        <f ca="1">TblMili[[#This Row],[Draftees]]</f>
        <v>487</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315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0.81818181818181823</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4</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3</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0.1</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493</v>
      </c>
      <c r="C58" s="157">
        <f ca="1">TblPop[[#This Row],[Military%]]</f>
        <v>0.45817843866171004</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2450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493</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493</v>
      </c>
      <c r="X58" s="247">
        <f ca="1">TblConstr[[#This Row],[Land]]</f>
        <v>110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493</v>
      </c>
      <c r="AB58" s="154"/>
      <c r="AC58" s="180">
        <f ca="1">(TblConstr[[#This Row],[Tot Smi]]+TblConstr[[#This Row],[Dest Smi]])/(TblConstr[[#This Row],[Land]]-TblExplore[[#This Row],[Land Bonus]]*20)</f>
        <v>0</v>
      </c>
      <c r="AD58" s="137"/>
      <c r="AE58" s="246">
        <f>TblMili[[#This Row],[Hour]]</f>
        <v>55</v>
      </c>
      <c r="AF58" s="138">
        <f ca="1">TblExplore[[#This Row],[Time]]</f>
        <v>46103.999999999869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142592</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46103.999999999869</v>
      </c>
      <c r="AW58" s="94">
        <f ca="1">TblMili[[#This Row],[Draftees]]</f>
        <v>493</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315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0.81818181818181823</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4</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3</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0.1</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499</v>
      </c>
      <c r="C59" s="157">
        <f ca="1">TblPop[[#This Row],[Military%]]</f>
        <v>0.46375464684014872</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2450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499</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499</v>
      </c>
      <c r="X59" s="247">
        <f ca="1">TblConstr[[#This Row],[Land]]</f>
        <v>110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499</v>
      </c>
      <c r="AB59" s="154"/>
      <c r="AC59" s="180">
        <f ca="1">(TblConstr[[#This Row],[Tot Smi]]+TblConstr[[#This Row],[Dest Smi]])/(TblConstr[[#This Row],[Land]]-TblExplore[[#This Row],[Land Bonus]]*20)</f>
        <v>0</v>
      </c>
      <c r="AD59" s="137"/>
      <c r="AE59" s="246">
        <f>TblMili[[#This Row],[Hour]]</f>
        <v>56</v>
      </c>
      <c r="AF59" s="138">
        <f ca="1">TblExplore[[#This Row],[Time]]</f>
        <v>46104.041666666533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144166</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46104.041666666533</v>
      </c>
      <c r="AW59" s="94">
        <f ca="1">TblMili[[#This Row],[Draftees]]</f>
        <v>499</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315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0.81818181818181823</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4</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3</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0.1</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505</v>
      </c>
      <c r="C60" s="157">
        <f ca="1">TblPop[[#This Row],[Military%]]</f>
        <v>0.46933085501858735</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2450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505</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505</v>
      </c>
      <c r="X60" s="247">
        <f ca="1">TblConstr[[#This Row],[Land]]</f>
        <v>110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505</v>
      </c>
      <c r="AB60" s="154"/>
      <c r="AC60" s="180">
        <f ca="1">(TblConstr[[#This Row],[Tot Smi]]+TblConstr[[#This Row],[Dest Smi]])/(TblConstr[[#This Row],[Land]]-TblExplore[[#This Row],[Land Bonus]]*20)</f>
        <v>0</v>
      </c>
      <c r="AD60" s="137"/>
      <c r="AE60" s="246">
        <f>TblMili[[#This Row],[Hour]]</f>
        <v>57</v>
      </c>
      <c r="AF60" s="138">
        <f ca="1">TblExplore[[#This Row],[Time]]</f>
        <v>46104.083333333198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145723</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46104.083333333198</v>
      </c>
      <c r="AW60" s="94">
        <f ca="1">TblMili[[#This Row],[Draftees]]</f>
        <v>505</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315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0.81818181818181823</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4</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3</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0.1</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511</v>
      </c>
      <c r="C61" s="157">
        <f ca="1">TblPop[[#This Row],[Military%]]</f>
        <v>0.47490706319702602</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2450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511</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511</v>
      </c>
      <c r="X61" s="247">
        <f ca="1">TblConstr[[#This Row],[Land]]</f>
        <v>110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511</v>
      </c>
      <c r="AB61" s="154"/>
      <c r="AC61" s="180">
        <f ca="1">(TblConstr[[#This Row],[Tot Smi]]+TblConstr[[#This Row],[Dest Smi]])/(TblConstr[[#This Row],[Land]]-TblExplore[[#This Row],[Land Bonus]]*20)</f>
        <v>0</v>
      </c>
      <c r="AD61" s="137"/>
      <c r="AE61" s="246">
        <f>TblMili[[#This Row],[Hour]]</f>
        <v>58</v>
      </c>
      <c r="AF61" s="138">
        <f ca="1">TblExplore[[#This Row],[Time]]</f>
        <v>46104.124999999862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147264</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46104.124999999862</v>
      </c>
      <c r="AW61" s="94">
        <f ca="1">TblMili[[#This Row],[Draftees]]</f>
        <v>511</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315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0.81818181818181823</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4</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3</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0.1</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517</v>
      </c>
      <c r="C62" s="157">
        <f ca="1">TblPop[[#This Row],[Military%]]</f>
        <v>0.4804832713754647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2450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517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517</v>
      </c>
      <c r="X62" s="247">
        <f ca="1">TblConstr[[#This Row],[Land]]</f>
        <v>110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517</v>
      </c>
      <c r="AB62" s="154"/>
      <c r="AC62" s="180">
        <f ca="1">(TblConstr[[#This Row],[Tot Smi]]+TblConstr[[#This Row],[Dest Smi]])/(TblConstr[[#This Row],[Land]]-TblExplore[[#This Row],[Land Bonus]]*20)</f>
        <v>0</v>
      </c>
      <c r="AD62" s="137"/>
      <c r="AE62" s="246">
        <f>TblMili[[#This Row],[Hour]]</f>
        <v>59</v>
      </c>
      <c r="AF62" s="138">
        <f ca="1">TblExplore[[#This Row],[Time]]</f>
        <v>46104.166666666526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148789</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46104.166666666526</v>
      </c>
      <c r="AW62" s="94">
        <f ca="1">TblMili[[#This Row],[Draftees]]</f>
        <v>517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315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0.81818181818181823</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4</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3</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0.1</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523</v>
      </c>
      <c r="C63" s="157">
        <f ca="1">TblPop[[#This Row],[Military%]]</f>
        <v>0.48605947955390333</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2450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523</v>
      </c>
      <c r="X63" s="247">
        <f ca="1">TblConstr[[#This Row],[Land]]</f>
        <v>110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523</v>
      </c>
      <c r="AB63" s="154"/>
      <c r="AC63" s="180">
        <f ca="1">(TblConstr[[#This Row],[Tot Smi]]+TblConstr[[#This Row],[Dest Smi]])/(TblConstr[[#This Row],[Land]]-TblExplore[[#This Row],[Land Bonus]]*20)</f>
        <v>0</v>
      </c>
      <c r="AD63" s="137"/>
      <c r="AE63" s="246">
        <f>TblMili[[#This Row],[Hour]]</f>
        <v>60</v>
      </c>
      <c r="AF63" s="138">
        <f ca="1">TblExplore[[#This Row],[Time]]</f>
        <v>46104.20833333319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150298</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46104.20833333319</v>
      </c>
      <c r="AW63" s="94">
        <f ca="1">TblMili[[#This Row],[Draftees]]</f>
        <v>523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315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0.81818181818181823</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4</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3</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0.1</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529</v>
      </c>
      <c r="C64" s="157">
        <f ca="1">TblPop[[#This Row],[Military%]]</f>
        <v>0.49163568773234201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2450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529</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529</v>
      </c>
      <c r="X64" s="247">
        <f ca="1">TblConstr[[#This Row],[Land]]</f>
        <v>110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529</v>
      </c>
      <c r="AB64" s="154"/>
      <c r="AC64" s="180">
        <f ca="1">(TblConstr[[#This Row],[Tot Smi]]+TblConstr[[#This Row],[Dest Smi]])/(TblConstr[[#This Row],[Land]]-TblExplore[[#This Row],[Land Bonus]]*20)</f>
        <v>0</v>
      </c>
      <c r="AD64" s="246"/>
      <c r="AE64" s="246">
        <f>TblMili[[#This Row],[Hour]]</f>
        <v>61</v>
      </c>
      <c r="AF64" s="138">
        <f ca="1">TblExplore[[#This Row],[Time]]</f>
        <v>46104.249999999854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151791</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46104.249999999854</v>
      </c>
      <c r="AW64" s="94">
        <f ca="1">TblMili[[#This Row],[Draftees]]</f>
        <v>529</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315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0.81818181818181823</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4</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3</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0.1</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534</v>
      </c>
      <c r="C65" s="157">
        <f ca="1">TblPop[[#This Row],[Military%]]</f>
        <v>0.49628252788104088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2450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534</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534</v>
      </c>
      <c r="X65" s="247">
        <f ca="1">TblConstr[[#This Row],[Land]]</f>
        <v>110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65" s="154"/>
      <c r="AC65" s="180">
        <f ca="1">(TblConstr[[#This Row],[Tot Smi]]+TblConstr[[#This Row],[Dest Smi]])/(TblConstr[[#This Row],[Land]]-TblExplore[[#This Row],[Land Bonus]]*20)</f>
        <v>0</v>
      </c>
      <c r="AD65" s="137"/>
      <c r="AE65" s="246">
        <f>TblMili[[#This Row],[Hour]]</f>
        <v>62</v>
      </c>
      <c r="AF65" s="138">
        <f ca="1">TblExplore[[#This Row],[Time]]</f>
        <v>46104.291666666519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153267</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46104.291666666519</v>
      </c>
      <c r="AW65" s="94">
        <f ca="1">TblMili[[#This Row],[Draftees]]</f>
        <v>534</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315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0.81818181818181823</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4</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3</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0.1</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539</v>
      </c>
      <c r="C66" s="157">
        <f ca="1">TblPop[[#This Row],[Military%]]</f>
        <v>0.50092936802973975</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2450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539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539</v>
      </c>
      <c r="X66" s="247">
        <f ca="1">TblConstr[[#This Row],[Land]]</f>
        <v>110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539</v>
      </c>
      <c r="AB66" s="154"/>
      <c r="AC66" s="180">
        <f ca="1">(TblConstr[[#This Row],[Tot Smi]]+TblConstr[[#This Row],[Dest Smi]])/(TblConstr[[#This Row],[Land]]-TblExplore[[#This Row],[Land Bonus]]*20)</f>
        <v>0</v>
      </c>
      <c r="AD66" s="137"/>
      <c r="AE66" s="246">
        <f>TblMili[[#This Row],[Hour]]</f>
        <v>63</v>
      </c>
      <c r="AF66" s="138">
        <f ca="1">TblExplore[[#This Row],[Time]]</f>
        <v>46104.333333333183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154730</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46104.333333333183</v>
      </c>
      <c r="AW66" s="94">
        <f ca="1">TblMili[[#This Row],[Draftees]]</f>
        <v>539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315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0.81818181818181823</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4</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3</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0.1</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544</v>
      </c>
      <c r="C67" s="157">
        <f ca="1">TblPop[[#This Row],[Military%]]</f>
        <v>0.50557620817843862</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2450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544</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544</v>
      </c>
      <c r="X67" s="247">
        <f ca="1">TblConstr[[#This Row],[Land]]</f>
        <v>110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67" s="154"/>
      <c r="AC67" s="180">
        <f ca="1">(TblConstr[[#This Row],[Tot Smi]]+TblConstr[[#This Row],[Dest Smi]])/(TblConstr[[#This Row],[Land]]-TblExplore[[#This Row],[Land Bonus]]*20)</f>
        <v>0</v>
      </c>
      <c r="AD67" s="137"/>
      <c r="AE67" s="246">
        <f>TblMili[[#This Row],[Hour]]</f>
        <v>64</v>
      </c>
      <c r="AF67" s="138">
        <f ca="1">TblExplore[[#This Row],[Time]]</f>
        <v>46104.374999999847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156179</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46104.374999999847</v>
      </c>
      <c r="AW67" s="94">
        <f ca="1">TblMili[[#This Row],[Draftees]]</f>
        <v>544</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315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0.81818181818181823</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4</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3</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0.1</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549</v>
      </c>
      <c r="C68" s="157">
        <f ca="1">TblPop[[#This Row],[Military%]]</f>
        <v>0.5102230483271375</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2450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549</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549</v>
      </c>
      <c r="X68" s="247">
        <f ca="1">TblConstr[[#This Row],[Land]]</f>
        <v>110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549</v>
      </c>
      <c r="AB68" s="154"/>
      <c r="AC68" s="180">
        <f ca="1">(TblConstr[[#This Row],[Tot Smi]]+TblConstr[[#This Row],[Dest Smi]])/(TblConstr[[#This Row],[Land]]-TblExplore[[#This Row],[Land Bonus]]*20)</f>
        <v>0</v>
      </c>
      <c r="AD68" s="137"/>
      <c r="AE68" s="246">
        <f>TblMili[[#This Row],[Hour]]</f>
        <v>65</v>
      </c>
      <c r="AF68" s="138">
        <f ca="1">TblExplore[[#This Row],[Time]]</f>
        <v>46104.416666666511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157615</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46104.416666666511</v>
      </c>
      <c r="AW68" s="94">
        <f ca="1">TblMili[[#This Row],[Draftees]]</f>
        <v>549</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315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0.81818181818181823</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4</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3</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0.1</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554</v>
      </c>
      <c r="C69" s="157">
        <f ca="1">TblPop[[#This Row],[Military%]]</f>
        <v>0.51486988847583648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2450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554</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554</v>
      </c>
      <c r="X69" s="247">
        <f ca="1">TblConstr[[#This Row],[Land]]</f>
        <v>110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69" s="154"/>
      <c r="AC69" s="180">
        <f ca="1">(TblConstr[[#This Row],[Tot Smi]]+TblConstr[[#This Row],[Dest Smi]])/(TblConstr[[#This Row],[Land]]-TblExplore[[#This Row],[Land Bonus]]*20)</f>
        <v>0</v>
      </c>
      <c r="AD69" s="137"/>
      <c r="AE69" s="246">
        <f>TblMili[[#This Row],[Hour]]</f>
        <v>66</v>
      </c>
      <c r="AF69" s="138">
        <f ca="1">TblExplore[[#This Row],[Time]]</f>
        <v>46104.458333333176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159037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46104.458333333176</v>
      </c>
      <c r="AW69" s="94">
        <f ca="1">TblMili[[#This Row],[Draftees]]</f>
        <v>554</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315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0.81818181818181823</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4</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3</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0.1</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559</v>
      </c>
      <c r="C70" s="157">
        <f ca="1">TblPop[[#This Row],[Military%]]</f>
        <v>0.51951672862453535</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2450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559</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559</v>
      </c>
      <c r="X70" s="247">
        <f ca="1">TblConstr[[#This Row],[Land]]</f>
        <v>110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559</v>
      </c>
      <c r="AB70" s="154"/>
      <c r="AC70" s="180">
        <f ca="1">(TblConstr[[#This Row],[Tot Smi]]+TblConstr[[#This Row],[Dest Smi]])/(TblConstr[[#This Row],[Land]]-TblExplore[[#This Row],[Land Bonus]]*20)</f>
        <v>0</v>
      </c>
      <c r="AD70" s="137"/>
      <c r="AE70" s="246">
        <f>TblMili[[#This Row],[Hour]]</f>
        <v>67</v>
      </c>
      <c r="AF70" s="138">
        <f ca="1">TblExplore[[#This Row],[Time]]</f>
        <v>46104.49999999984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160446</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46104.49999999984</v>
      </c>
      <c r="AW70" s="94">
        <f ca="1">TblMili[[#This Row],[Draftees]]</f>
        <v>559</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315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0.81818181818181823</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4</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3</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0.1</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564</v>
      </c>
      <c r="C71" s="157">
        <f ca="1">TblPop[[#This Row],[Military%]]</f>
        <v>0.52416356877323422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2450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564</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564</v>
      </c>
      <c r="X71" s="247">
        <f ca="1">TblConstr[[#This Row],[Land]]</f>
        <v>110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71" s="154"/>
      <c r="AC71" s="180">
        <f ca="1">(TblConstr[[#This Row],[Tot Smi]]+TblConstr[[#This Row],[Dest Smi]])/(TblConstr[[#This Row],[Land]]-TblExplore[[#This Row],[Land Bonus]]*20)</f>
        <v>0</v>
      </c>
      <c r="AD71" s="137"/>
      <c r="AE71" s="246">
        <f>TblMili[[#This Row],[Hour]]</f>
        <v>68</v>
      </c>
      <c r="AF71" s="138">
        <f ca="1">TblExplore[[#This Row],[Time]]</f>
        <v>46104.541666666504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161841</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46104.541666666504</v>
      </c>
      <c r="AW71" s="94">
        <f ca="1">TblMili[[#This Row],[Draftees]]</f>
        <v>564</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315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0.81818181818181823</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4</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3</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0.1</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569</v>
      </c>
      <c r="C72" s="157">
        <f ca="1">TblPop[[#This Row],[Military%]]</f>
        <v>0.52881040892193309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2450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569</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569</v>
      </c>
      <c r="X72" s="247">
        <f ca="1">TblConstr[[#This Row],[Land]]</f>
        <v>110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569</v>
      </c>
      <c r="AB72" s="154"/>
      <c r="AC72" s="180">
        <f ca="1">(TblConstr[[#This Row],[Tot Smi]]+TblConstr[[#This Row],[Dest Smi]])/(TblConstr[[#This Row],[Land]]-TblExplore[[#This Row],[Land Bonus]]*20)</f>
        <v>0</v>
      </c>
      <c r="AD72" s="137"/>
      <c r="AE72" s="246">
        <f>TblMili[[#This Row],[Hour]]</f>
        <v>69</v>
      </c>
      <c r="AF72" s="138">
        <f ca="1">TblExplore[[#This Row],[Time]]</f>
        <v>46104.583333333168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163223</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46104.583333333168</v>
      </c>
      <c r="AW72" s="94">
        <f ca="1">TblMili[[#This Row],[Draftees]]</f>
        <v>569</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315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0.81818181818181823</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4</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3</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0.1</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574</v>
      </c>
      <c r="C73" s="157">
        <f ca="1">TblPop[[#This Row],[Military%]]</f>
        <v>0.53345724907063197</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2450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574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574</v>
      </c>
      <c r="X73" s="247">
        <f ca="1">TblConstr[[#This Row],[Land]]</f>
        <v>110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73" s="154"/>
      <c r="AC73" s="180">
        <f ca="1">(TblConstr[[#This Row],[Tot Smi]]+TblConstr[[#This Row],[Dest Smi]])/(TblConstr[[#This Row],[Land]]-TblExplore[[#This Row],[Land Bonus]]*20)</f>
        <v>0</v>
      </c>
      <c r="AD73" s="137"/>
      <c r="AE73" s="246">
        <f>TblMili[[#This Row],[Hour]]</f>
        <v>70</v>
      </c>
      <c r="AF73" s="138">
        <f ca="1">TblExplore[[#This Row],[Time]]</f>
        <v>46104.624999999833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164591</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46104.624999999833</v>
      </c>
      <c r="AW73" s="94">
        <f ca="1">TblMili[[#This Row],[Draftees]]</f>
        <v>574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315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0.81818181818181823</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4</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3</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0.1</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579</v>
      </c>
      <c r="C74" s="157">
        <f ca="1">TblPop[[#This Row],[Military%]]</f>
        <v>0.53810408921933084</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2450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579</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579</v>
      </c>
      <c r="X74" s="247">
        <f ca="1">TblConstr[[#This Row],[Land]]</f>
        <v>110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74" s="154"/>
      <c r="AC74" s="180">
        <f ca="1">(TblConstr[[#This Row],[Tot Smi]]+TblConstr[[#This Row],[Dest Smi]])/(TblConstr[[#This Row],[Land]]-TblExplore[[#This Row],[Land Bonus]]*20)</f>
        <v>0</v>
      </c>
      <c r="AD74" s="137"/>
      <c r="AE74" s="246">
        <f>TblMili[[#This Row],[Hour]]</f>
        <v>71</v>
      </c>
      <c r="AF74" s="138">
        <f ca="1">TblExplore[[#This Row],[Time]]</f>
        <v>46104.666666666497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165946</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46104.666666666497</v>
      </c>
      <c r="AW74" s="94">
        <f ca="1">TblMili[[#This Row],[Draftees]]</f>
        <v>579</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315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0.81818181818181823</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4</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3</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0.1</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584</v>
      </c>
      <c r="C75" s="157">
        <f ca="1">TblPop[[#This Row],[Military%]]</f>
        <v>0.54275092936802971</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2450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584</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584</v>
      </c>
      <c r="X75" s="247">
        <f ca="1">TblConstr[[#This Row],[Land]]</f>
        <v>110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75" s="154"/>
      <c r="AC75" s="180">
        <f ca="1">(TblConstr[[#This Row],[Tot Smi]]+TblConstr[[#This Row],[Dest Smi]])/(TblConstr[[#This Row],[Land]]-TblExplore[[#This Row],[Land Bonus]]*20)</f>
        <v>0</v>
      </c>
      <c r="AD75" s="137"/>
      <c r="AE75" s="246">
        <f>TblMili[[#This Row],[Hour]]</f>
        <v>72</v>
      </c>
      <c r="AF75" s="138">
        <f ca="1">TblExplore[[#This Row],[Time]]</f>
        <v>46104.708333333161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167287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46104.708333333161</v>
      </c>
      <c r="AW75" s="94">
        <f ca="1">TblMili[[#This Row],[Draftees]]</f>
        <v>584</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315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0.81818181818181823</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4</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3</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0.1</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589</v>
      </c>
      <c r="C76" s="440">
        <f ca="1">TblPop[[#This Row],[Military%]]</f>
        <v>0.54739776951672858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2450</v>
      </c>
      <c r="O76" s="142"/>
      <c r="P76" s="441">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1">
        <f ca="1">TblMili[[#This Row],[Non Draft]]+TblMili[[#This Row],[Draftees]]</f>
        <v>589</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589</v>
      </c>
      <c r="X76" s="441">
        <f ca="1">TblConstr[[#This Row],[Land]]</f>
        <v>110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589</v>
      </c>
      <c r="AB76" s="154"/>
      <c r="AC76" s="429">
        <f ca="1">(TblConstr[[#This Row],[Tot Smi]]+TblConstr[[#This Row],[Dest Smi]])/(TblConstr[[#This Row],[Land]]-TblExplore[[#This Row],[Land Bonus]]*20)</f>
        <v>0</v>
      </c>
      <c r="AD76" s="137"/>
      <c r="AE76" s="246">
        <f>TblMili[[#This Row],[Hour]]</f>
        <v>73</v>
      </c>
      <c r="AF76" s="138">
        <f ca="1">TblExplore[[#This Row],[Time]]</f>
        <v>46104.749999999825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168615</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46104.749999999825</v>
      </c>
      <c r="AW76" s="430">
        <f ca="1">TblMili[[#This Row],[Draftees]]</f>
        <v>589</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315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0.81818181818181823</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4</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3</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Infernal Command]]&gt;0,TblMili[[#This Row],[Unit 1]]*infernal_cmd_op,0)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0.1</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594</v>
      </c>
      <c r="C77" s="157">
        <f ca="1">TblPop[[#This Row],[Military%]]</f>
        <v>0.55204460966542745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2450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594</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594</v>
      </c>
      <c r="X77" s="247">
        <f ca="1">TblConstr[[#This Row],[Land]]</f>
        <v>110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77" s="154"/>
      <c r="AC77" s="180">
        <f ca="1">(TblConstr[[#This Row],[Tot Smi]]+TblConstr[[#This Row],[Dest Smi]])/(TblConstr[[#This Row],[Land]]-TblExplore[[#This Row],[Land Bonus]]*20)</f>
        <v>0</v>
      </c>
      <c r="AD77" s="137"/>
      <c r="AE77" s="246">
        <f>TblMili[[#This Row],[Hour]]</f>
        <v>74</v>
      </c>
      <c r="AF77" s="138">
        <f ca="1">TblExplore[[#This Row],[Time]]</f>
        <v>46104.79166666649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169929</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46104.79166666649</v>
      </c>
      <c r="AW77" s="94">
        <f ca="1">TblMili[[#This Row],[Draftees]]</f>
        <v>594</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315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0.81818181818181823</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4</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3</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0.1</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599</v>
      </c>
      <c r="C78" s="157">
        <f ca="1">TblPop[[#This Row],[Military%]]</f>
        <v>0.55669144981412644</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2450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599</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599</v>
      </c>
      <c r="X78" s="247">
        <f ca="1">TblConstr[[#This Row],[Land]]</f>
        <v>110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599</v>
      </c>
      <c r="AB78" s="154"/>
      <c r="AC78" s="180">
        <f ca="1">(TblConstr[[#This Row],[Tot Smi]]+TblConstr[[#This Row],[Dest Smi]])/(TblConstr[[#This Row],[Land]]-TblExplore[[#This Row],[Land Bonus]]*20)</f>
        <v>0</v>
      </c>
      <c r="AD78" s="137"/>
      <c r="AE78" s="246">
        <f>TblMili[[#This Row],[Hour]]</f>
        <v>75</v>
      </c>
      <c r="AF78" s="138">
        <f ca="1">TblExplore[[#This Row],[Time]]</f>
        <v>46104.833333333154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171230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46104.833333333154</v>
      </c>
      <c r="AW78" s="94">
        <f ca="1">TblMili[[#This Row],[Draftees]]</f>
        <v>599</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315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0.81818181818181823</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4</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3</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0.1</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604</v>
      </c>
      <c r="C79" s="157">
        <f ca="1">TblPop[[#This Row],[Military%]]</f>
        <v>0.56133828996282531</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2450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604</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604</v>
      </c>
      <c r="X79" s="247">
        <f ca="1">TblConstr[[#This Row],[Land]]</f>
        <v>110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79" s="154"/>
      <c r="AC79" s="180">
        <f ca="1">(TblConstr[[#This Row],[Tot Smi]]+TblConstr[[#This Row],[Dest Smi]])/(TblConstr[[#This Row],[Land]]-TblExplore[[#This Row],[Land Bonus]]*20)</f>
        <v>0</v>
      </c>
      <c r="AD79" s="137"/>
      <c r="AE79" s="246">
        <f>TblMili[[#This Row],[Hour]]</f>
        <v>76</v>
      </c>
      <c r="AF79" s="138">
        <f ca="1">TblExplore[[#This Row],[Time]]</f>
        <v>46104.874999999818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172517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46104.874999999818</v>
      </c>
      <c r="AW79" s="94">
        <f ca="1">TblMili[[#This Row],[Draftees]]</f>
        <v>604</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315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0.81818181818181823</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4</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3</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0.1</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609</v>
      </c>
      <c r="C80" s="157">
        <f ca="1">TblPop[[#This Row],[Military%]]</f>
        <v>0.56598513011152418</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2450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609</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609</v>
      </c>
      <c r="X80" s="247">
        <f ca="1">TblConstr[[#This Row],[Land]]</f>
        <v>110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609</v>
      </c>
      <c r="AB80" s="154"/>
      <c r="AC80" s="180">
        <f ca="1">(TblConstr[[#This Row],[Tot Smi]]+TblConstr[[#This Row],[Dest Smi]])/(TblConstr[[#This Row],[Land]]-TblExplore[[#This Row],[Land Bonus]]*20)</f>
        <v>0</v>
      </c>
      <c r="AD80" s="137"/>
      <c r="AE80" s="246">
        <f>TblMili[[#This Row],[Hour]]</f>
        <v>77</v>
      </c>
      <c r="AF80" s="138">
        <f ca="1">TblExplore[[#This Row],[Time]]</f>
        <v>46104.916666666482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173791</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46104.916666666482</v>
      </c>
      <c r="AW80" s="94">
        <f ca="1">TblMili[[#This Row],[Draftees]]</f>
        <v>609</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315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0.81818181818181823</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4</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3</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0.1</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614</v>
      </c>
      <c r="C81" s="157">
        <f ca="1">TblPop[[#This Row],[Military%]]</f>
        <v>0.57063197026022305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2450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614</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614</v>
      </c>
      <c r="X81" s="247">
        <f ca="1">TblConstr[[#This Row],[Land]]</f>
        <v>110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81" s="154"/>
      <c r="AC81" s="180">
        <f ca="1">(TblConstr[[#This Row],[Tot Smi]]+TblConstr[[#This Row],[Dest Smi]])/(TblConstr[[#This Row],[Land]]-TblExplore[[#This Row],[Land Bonus]]*20)</f>
        <v>0</v>
      </c>
      <c r="AD81" s="137"/>
      <c r="AE81" s="246">
        <f>TblMili[[#This Row],[Hour]]</f>
        <v>78</v>
      </c>
      <c r="AF81" s="138">
        <f ca="1">TblExplore[[#This Row],[Time]]</f>
        <v>46104.958333333147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175051</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46104.958333333147</v>
      </c>
      <c r="AW81" s="94">
        <f ca="1">TblMili[[#This Row],[Draftees]]</f>
        <v>614</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315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0.81818181818181823</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4</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3</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0.1</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619</v>
      </c>
      <c r="C82" s="157">
        <f ca="1">TblPop[[#This Row],[Military%]]</f>
        <v>0.57527881040892193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2450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619</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619</v>
      </c>
      <c r="X82" s="247">
        <f ca="1">TblConstr[[#This Row],[Land]]</f>
        <v>110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619</v>
      </c>
      <c r="AB82" s="154"/>
      <c r="AC82" s="180">
        <f ca="1">(TblConstr[[#This Row],[Tot Smi]]+TblConstr[[#This Row],[Dest Smi]])/(TblConstr[[#This Row],[Land]]-TblExplore[[#This Row],[Land Bonus]]*20)</f>
        <v>0</v>
      </c>
      <c r="AD82" s="137"/>
      <c r="AE82" s="246">
        <f>TblMili[[#This Row],[Hour]]</f>
        <v>79</v>
      </c>
      <c r="AF82" s="138">
        <f ca="1">TblExplore[[#This Row],[Time]]</f>
        <v>46104.999999999811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176298</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46104.999999999811</v>
      </c>
      <c r="AW82" s="94">
        <f ca="1">TblMili[[#This Row],[Draftees]]</f>
        <v>619</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315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0.81818181818181823</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4</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3</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0.1</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624</v>
      </c>
      <c r="C83" s="157">
        <f ca="1">TblPop[[#This Row],[Military%]]</f>
        <v>0.5799256505576208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2450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624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624</v>
      </c>
      <c r="X83" s="247">
        <f ca="1">TblConstr[[#This Row],[Land]]</f>
        <v>110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83" s="154"/>
      <c r="AC83" s="180">
        <f ca="1">(TblConstr[[#This Row],[Tot Smi]]+TblConstr[[#This Row],[Dest Smi]])/(TblConstr[[#This Row],[Land]]-TblExplore[[#This Row],[Land Bonus]]*20)</f>
        <v>0</v>
      </c>
      <c r="AD83" s="137"/>
      <c r="AE83" s="246">
        <f>TblMili[[#This Row],[Hour]]</f>
        <v>80</v>
      </c>
      <c r="AF83" s="138">
        <f ca="1">TblExplore[[#This Row],[Time]]</f>
        <v>46105.041666666475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177531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46105.041666666475</v>
      </c>
      <c r="AW83" s="94">
        <f ca="1">TblMili[[#This Row],[Draftees]]</f>
        <v>624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315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0.81818181818181823</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4</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3</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0.1</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629</v>
      </c>
      <c r="C84" s="157">
        <f ca="1">TblPop[[#This Row],[Military%]]</f>
        <v>0.58457249070631967</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2450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629</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629</v>
      </c>
      <c r="X84" s="247">
        <f ca="1">TblConstr[[#This Row],[Land]]</f>
        <v>110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84" s="154"/>
      <c r="AC84" s="180">
        <f ca="1">(TblConstr[[#This Row],[Tot Smi]]+TblConstr[[#This Row],[Dest Smi]])/(TblConstr[[#This Row],[Land]]-TblExplore[[#This Row],[Land Bonus]]*20)</f>
        <v>0</v>
      </c>
      <c r="AD84" s="137"/>
      <c r="AE84" s="246">
        <f>TblMili[[#This Row],[Hour]]</f>
        <v>81</v>
      </c>
      <c r="AF84" s="138">
        <f ca="1">TblExplore[[#This Row],[Time]]</f>
        <v>46105.083333333139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178751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46105.083333333139</v>
      </c>
      <c r="AW84" s="94">
        <f ca="1">TblMili[[#This Row],[Draftees]]</f>
        <v>629</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315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0.81818181818181823</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4</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3</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0.1</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633</v>
      </c>
      <c r="C85" s="157">
        <f ca="1">TblPop[[#This Row],[Military%]]</f>
        <v>0.58828996282527879</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2450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633</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633</v>
      </c>
      <c r="X85" s="247">
        <f ca="1">TblConstr[[#This Row],[Land]]</f>
        <v>110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85" s="154"/>
      <c r="AC85" s="180">
        <f ca="1">(TblConstr[[#This Row],[Tot Smi]]+TblConstr[[#This Row],[Dest Smi]])/(TblConstr[[#This Row],[Land]]-TblExplore[[#This Row],[Land Bonus]]*20)</f>
        <v>0</v>
      </c>
      <c r="AD85" s="137"/>
      <c r="AE85" s="246">
        <f>TblMili[[#This Row],[Hour]]</f>
        <v>82</v>
      </c>
      <c r="AF85" s="138">
        <f ca="1">TblExplore[[#This Row],[Time]]</f>
        <v>46105.124999999804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179957</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46105.124999999804</v>
      </c>
      <c r="AW85" s="94">
        <f ca="1">TblMili[[#This Row],[Draftees]]</f>
        <v>633</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315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0.81818181818181823</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4</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3</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0.1</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637</v>
      </c>
      <c r="C86" s="157">
        <f ca="1">TblPop[[#This Row],[Military%]]</f>
        <v>0.59200743494423791</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2450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637</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637</v>
      </c>
      <c r="X86" s="247">
        <f ca="1">TblConstr[[#This Row],[Land]]</f>
        <v>110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86" s="154"/>
      <c r="AC86" s="180">
        <f ca="1">(TblConstr[[#This Row],[Tot Smi]]+TblConstr[[#This Row],[Dest Smi]])/(TblConstr[[#This Row],[Land]]-TblExplore[[#This Row],[Land Bonus]]*20)</f>
        <v>0</v>
      </c>
      <c r="AD86" s="137"/>
      <c r="AE86" s="246">
        <f>TblMili[[#This Row],[Hour]]</f>
        <v>83</v>
      </c>
      <c r="AF86" s="138">
        <f ca="1">TblExplore[[#This Row],[Time]]</f>
        <v>46105.166666666468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181153</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46105.166666666468</v>
      </c>
      <c r="AW86" s="94">
        <f ca="1">TblMili[[#This Row],[Draftees]]</f>
        <v>637</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315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0.81818181818181823</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4</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3</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0.1</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641</v>
      </c>
      <c r="C87" s="157">
        <f ca="1">TblPop[[#This Row],[Military%]]</f>
        <v>0.59572490706319703</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2450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641</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641</v>
      </c>
      <c r="X87" s="247">
        <f ca="1">TblConstr[[#This Row],[Land]]</f>
        <v>110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641</v>
      </c>
      <c r="AB87" s="154"/>
      <c r="AC87" s="180">
        <f ca="1">(TblConstr[[#This Row],[Tot Smi]]+TblConstr[[#This Row],[Dest Smi]])/(TblConstr[[#This Row],[Land]]-TblExplore[[#This Row],[Land Bonus]]*20)</f>
        <v>0</v>
      </c>
      <c r="AD87" s="137"/>
      <c r="AE87" s="246">
        <f>TblMili[[#This Row],[Hour]]</f>
        <v>84</v>
      </c>
      <c r="AF87" s="138">
        <f ca="1">TblExplore[[#This Row],[Time]]</f>
        <v>46105.208333333132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182338</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46105.208333333132</v>
      </c>
      <c r="AW87" s="94">
        <f ca="1">TblMili[[#This Row],[Draftees]]</f>
        <v>641</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315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0.81818181818181823</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4</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3</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0.1</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645</v>
      </c>
      <c r="C88" s="157">
        <f ca="1">TblPop[[#This Row],[Military%]]</f>
        <v>0.59944237918215615</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2450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645</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645</v>
      </c>
      <c r="X88" s="247">
        <f ca="1">TblConstr[[#This Row],[Land]]</f>
        <v>110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645</v>
      </c>
      <c r="AB88" s="154"/>
      <c r="AC88" s="180">
        <f ca="1">(TblConstr[[#This Row],[Tot Smi]]+TblConstr[[#This Row],[Dest Smi]])/(TblConstr[[#This Row],[Land]]-TblExplore[[#This Row],[Land Bonus]]*20)</f>
        <v>0</v>
      </c>
      <c r="AD88" s="246"/>
      <c r="AE88" s="246">
        <f>TblMili[[#This Row],[Hour]]</f>
        <v>85</v>
      </c>
      <c r="AF88" s="138">
        <f ca="1">TblExplore[[#This Row],[Time]]</f>
        <v>46105.249999999796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183512</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46105.249999999796</v>
      </c>
      <c r="AW88" s="94">
        <f ca="1">TblMili[[#This Row],[Draftees]]</f>
        <v>645</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315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0.81818181818181823</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4</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3</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0.1</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649</v>
      </c>
      <c r="C89" s="157">
        <f ca="1">TblPop[[#This Row],[Military%]]</f>
        <v>0.60315985130111527</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2450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649</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649</v>
      </c>
      <c r="X89" s="247">
        <f ca="1">TblConstr[[#This Row],[Land]]</f>
        <v>110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649</v>
      </c>
      <c r="AB89" s="154"/>
      <c r="AC89" s="180">
        <f ca="1">(TblConstr[[#This Row],[Tot Smi]]+TblConstr[[#This Row],[Dest Smi]])/(TblConstr[[#This Row],[Land]]-TblExplore[[#This Row],[Land Bonus]]*20)</f>
        <v>0</v>
      </c>
      <c r="AD89" s="137"/>
      <c r="AE89" s="246">
        <f>TblMili[[#This Row],[Hour]]</f>
        <v>86</v>
      </c>
      <c r="AF89" s="138">
        <f ca="1">TblExplore[[#This Row],[Time]]</f>
        <v>46105.291666666461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184675</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46105.291666666461</v>
      </c>
      <c r="AW89" s="94">
        <f ca="1">TblMili[[#This Row],[Draftees]]</f>
        <v>649</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315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0.81818181818181823</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4</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3</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0.1</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653</v>
      </c>
      <c r="C90" s="157">
        <f ca="1">TblPop[[#This Row],[Military%]]</f>
        <v>0.60687732342007439</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2450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653</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653</v>
      </c>
      <c r="X90" s="247">
        <f ca="1">TblConstr[[#This Row],[Land]]</f>
        <v>110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653</v>
      </c>
      <c r="AB90" s="154"/>
      <c r="AC90" s="180">
        <f ca="1">(TblConstr[[#This Row],[Tot Smi]]+TblConstr[[#This Row],[Dest Smi]])/(TblConstr[[#This Row],[Land]]-TblExplore[[#This Row],[Land Bonus]]*20)</f>
        <v>0</v>
      </c>
      <c r="AD90" s="137"/>
      <c r="AE90" s="246">
        <f>TblMili[[#This Row],[Hour]]</f>
        <v>87</v>
      </c>
      <c r="AF90" s="138">
        <f ca="1">TblExplore[[#This Row],[Time]]</f>
        <v>46105.333333333125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185827</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46105.333333333125</v>
      </c>
      <c r="AW90" s="94">
        <f ca="1">TblMili[[#This Row],[Draftees]]</f>
        <v>653</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315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0.81818181818181823</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4</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3</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0.1</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657</v>
      </c>
      <c r="C91" s="157">
        <f ca="1">TblPop[[#This Row],[Military%]]</f>
        <v>0.61059479553903351</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2450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657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657</v>
      </c>
      <c r="X91" s="247">
        <f ca="1">TblConstr[[#This Row],[Land]]</f>
        <v>110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657</v>
      </c>
      <c r="AB91" s="154"/>
      <c r="AC91" s="180">
        <f ca="1">(TblConstr[[#This Row],[Tot Smi]]+TblConstr[[#This Row],[Dest Smi]])/(TblConstr[[#This Row],[Land]]-TblExplore[[#This Row],[Land Bonus]]*20)</f>
        <v>0</v>
      </c>
      <c r="AD91" s="137"/>
      <c r="AE91" s="246">
        <f>TblMili[[#This Row],[Hour]]</f>
        <v>88</v>
      </c>
      <c r="AF91" s="138">
        <f ca="1">TblExplore[[#This Row],[Time]]</f>
        <v>46105.374999999789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186969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46105.374999999789</v>
      </c>
      <c r="AW91" s="94">
        <f ca="1">TblMili[[#This Row],[Draftees]]</f>
        <v>657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315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0.81818181818181823</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4</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3</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0.1</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661</v>
      </c>
      <c r="C92" s="157">
        <f ca="1">TblPop[[#This Row],[Military%]]</f>
        <v>0.61431226765799252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2450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661</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661</v>
      </c>
      <c r="X92" s="247">
        <f ca="1">TblConstr[[#This Row],[Land]]</f>
        <v>110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661</v>
      </c>
      <c r="AB92" s="154"/>
      <c r="AC92" s="180">
        <f ca="1">(TblConstr[[#This Row],[Tot Smi]]+TblConstr[[#This Row],[Dest Smi]])/(TblConstr[[#This Row],[Land]]-TblExplore[[#This Row],[Land Bonus]]*20)</f>
        <v>0</v>
      </c>
      <c r="AD92" s="137"/>
      <c r="AE92" s="246">
        <f>TblMili[[#This Row],[Hour]]</f>
        <v>89</v>
      </c>
      <c r="AF92" s="138">
        <f ca="1">TblExplore[[#This Row],[Time]]</f>
        <v>46105.416666666453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188100</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46105.416666666453</v>
      </c>
      <c r="AW92" s="94">
        <f ca="1">TblMili[[#This Row],[Draftees]]</f>
        <v>661</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315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0.81818181818181823</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4</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3</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0.1</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665</v>
      </c>
      <c r="C93" s="157">
        <f ca="1">TblPop[[#This Row],[Military%]]</f>
        <v>0.61802973977695164</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2450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665</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665</v>
      </c>
      <c r="X93" s="247">
        <f ca="1">TblConstr[[#This Row],[Land]]</f>
        <v>110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665</v>
      </c>
      <c r="AB93" s="154"/>
      <c r="AC93" s="180">
        <f ca="1">(TblConstr[[#This Row],[Tot Smi]]+TblConstr[[#This Row],[Dest Smi]])/(TblConstr[[#This Row],[Land]]-TblExplore[[#This Row],[Land Bonus]]*20)</f>
        <v>0</v>
      </c>
      <c r="AD93" s="137"/>
      <c r="AE93" s="246">
        <f>TblMili[[#This Row],[Hour]]</f>
        <v>90</v>
      </c>
      <c r="AF93" s="138">
        <f ca="1">TblExplore[[#This Row],[Time]]</f>
        <v>46105.458333333117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189220</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46105.458333333117</v>
      </c>
      <c r="AW93" s="94">
        <f ca="1">TblMili[[#This Row],[Draftees]]</f>
        <v>665</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315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0.81818181818181823</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4</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3</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0.1</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669</v>
      </c>
      <c r="C94" s="157">
        <f ca="1">TblPop[[#This Row],[Military%]]</f>
        <v>0.62174721189591076</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2450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669</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669</v>
      </c>
      <c r="X94" s="247">
        <f ca="1">TblConstr[[#This Row],[Land]]</f>
        <v>110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669</v>
      </c>
      <c r="AB94" s="154"/>
      <c r="AC94" s="180">
        <f ca="1">(TblConstr[[#This Row],[Tot Smi]]+TblConstr[[#This Row],[Dest Smi]])/(TblConstr[[#This Row],[Land]]-TblExplore[[#This Row],[Land Bonus]]*20)</f>
        <v>0</v>
      </c>
      <c r="AD94" s="137"/>
      <c r="AE94" s="246">
        <f>TblMili[[#This Row],[Hour]]</f>
        <v>91</v>
      </c>
      <c r="AF94" s="138">
        <f ca="1">TblExplore[[#This Row],[Time]]</f>
        <v>46105.499999999782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190329</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46105.499999999782</v>
      </c>
      <c r="AW94" s="94">
        <f ca="1">TblMili[[#This Row],[Draftees]]</f>
        <v>669</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315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0.81818181818181823</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4</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3</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0.1</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673</v>
      </c>
      <c r="C95" s="157">
        <f ca="1">TblPop[[#This Row],[Military%]]</f>
        <v>0.62546468401486988</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2450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673</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673</v>
      </c>
      <c r="X95" s="247">
        <f ca="1">TblConstr[[#This Row],[Land]]</f>
        <v>110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673</v>
      </c>
      <c r="AB95" s="154"/>
      <c r="AC95" s="180">
        <f ca="1">(TblConstr[[#This Row],[Tot Smi]]+TblConstr[[#This Row],[Dest Smi]])/(TblConstr[[#This Row],[Land]]-TblExplore[[#This Row],[Land Bonus]]*20)</f>
        <v>0</v>
      </c>
      <c r="AD95" s="137"/>
      <c r="AE95" s="246">
        <f>TblMili[[#This Row],[Hour]]</f>
        <v>92</v>
      </c>
      <c r="AF95" s="138">
        <f ca="1">TblExplore[[#This Row],[Time]]</f>
        <v>46105.541666666446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191427</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46105.541666666446</v>
      </c>
      <c r="AW95" s="94">
        <f ca="1">TblMili[[#This Row],[Draftees]]</f>
        <v>673</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315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0.81818181818181823</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4</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3</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0.1</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677</v>
      </c>
      <c r="C96" s="157">
        <f ca="1">TblPop[[#This Row],[Military%]]</f>
        <v>0.629182156133829</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2450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677</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677</v>
      </c>
      <c r="X96" s="247">
        <f ca="1">TblConstr[[#This Row],[Land]]</f>
        <v>110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677</v>
      </c>
      <c r="AB96" s="154"/>
      <c r="AC96" s="180">
        <f ca="1">(TblConstr[[#This Row],[Tot Smi]]+TblConstr[[#This Row],[Dest Smi]])/(TblConstr[[#This Row],[Land]]-TblExplore[[#This Row],[Land Bonus]]*20)</f>
        <v>0</v>
      </c>
      <c r="AD96" s="137"/>
      <c r="AE96" s="246">
        <f>TblMili[[#This Row],[Hour]]</f>
        <v>93</v>
      </c>
      <c r="AF96" s="138">
        <f ca="1">TblExplore[[#This Row],[Time]]</f>
        <v>46105.58333333311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192515</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46105.58333333311</v>
      </c>
      <c r="AW96" s="94">
        <f ca="1">TblMili[[#This Row],[Draftees]]</f>
        <v>677</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315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0.81818181818181823</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4</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3</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0.1</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681</v>
      </c>
      <c r="C97" s="157">
        <f ca="1">TblPop[[#This Row],[Military%]]</f>
        <v>0.63289962825278812</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2450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681</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681</v>
      </c>
      <c r="X97" s="247">
        <f ca="1">TblConstr[[#This Row],[Land]]</f>
        <v>110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681</v>
      </c>
      <c r="AB97" s="154"/>
      <c r="AC97" s="180">
        <f ca="1">(TblConstr[[#This Row],[Tot Smi]]+TblConstr[[#This Row],[Dest Smi]])/(TblConstr[[#This Row],[Land]]-TblExplore[[#This Row],[Land Bonus]]*20)</f>
        <v>0</v>
      </c>
      <c r="AD97" s="137"/>
      <c r="AE97" s="246">
        <f>TblMili[[#This Row],[Hour]]</f>
        <v>94</v>
      </c>
      <c r="AF97" s="138">
        <f ca="1">TblExplore[[#This Row],[Time]]</f>
        <v>46105.624999999774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193592</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46105.624999999774</v>
      </c>
      <c r="AW97" s="94">
        <f ca="1">TblMili[[#This Row],[Draftees]]</f>
        <v>681</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315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0.81818181818181823</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4</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3</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0.1</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685</v>
      </c>
      <c r="C98" s="157">
        <f ca="1">TblPop[[#This Row],[Military%]]</f>
        <v>0.63661710037174724</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2450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685</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685</v>
      </c>
      <c r="X98" s="247">
        <f ca="1">TblConstr[[#This Row],[Land]]</f>
        <v>110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685</v>
      </c>
      <c r="AB98" s="154"/>
      <c r="AC98" s="180">
        <f ca="1">(TblConstr[[#This Row],[Tot Smi]]+TblConstr[[#This Row],[Dest Smi]])/(TblConstr[[#This Row],[Land]]-TblExplore[[#This Row],[Land Bonus]]*20)</f>
        <v>0</v>
      </c>
      <c r="AD98" s="137"/>
      <c r="AE98" s="246">
        <f>TblMili[[#This Row],[Hour]]</f>
        <v>95</v>
      </c>
      <c r="AF98" s="138">
        <f ca="1">TblExplore[[#This Row],[Time]]</f>
        <v>46105.666666666439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194658</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46105.666666666439</v>
      </c>
      <c r="AW98" s="94">
        <f ca="1">TblMili[[#This Row],[Draftees]]</f>
        <v>685</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315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0.81818181818181823</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4</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3</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0.1</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689</v>
      </c>
      <c r="C99" s="157">
        <f ca="1">TblPop[[#This Row],[Military%]]</f>
        <v>0.64033457249070636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2450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689</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689</v>
      </c>
      <c r="X99" s="247">
        <f ca="1">TblConstr[[#This Row],[Land]]</f>
        <v>110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689</v>
      </c>
      <c r="AB99" s="154"/>
      <c r="AC99" s="180">
        <f ca="1">(TblConstr[[#This Row],[Tot Smi]]+TblConstr[[#This Row],[Dest Smi]])/(TblConstr[[#This Row],[Land]]-TblExplore[[#This Row],[Land Bonus]]*20)</f>
        <v>0</v>
      </c>
      <c r="AD99" s="137"/>
      <c r="AE99" s="246">
        <f>TblMili[[#This Row],[Hour]]</f>
        <v>96</v>
      </c>
      <c r="AF99" s="138">
        <f ca="1">TblExplore[[#This Row],[Time]]</f>
        <v>46105.708333333103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195713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46105.708333333103</v>
      </c>
      <c r="AW99" s="94">
        <f ca="1">TblMili[[#This Row],[Draftees]]</f>
        <v>689</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315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0.81818181818181823</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4</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3</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0.1</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693</v>
      </c>
      <c r="C100" s="157">
        <f ca="1">TblPop[[#This Row],[Military%]]</f>
        <v>0.64405204460966547</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2450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693</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693</v>
      </c>
      <c r="X100" s="247">
        <f ca="1">TblConstr[[#This Row],[Land]]</f>
        <v>110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693</v>
      </c>
      <c r="AB100" s="154"/>
      <c r="AC100" s="180">
        <f ca="1">(TblConstr[[#This Row],[Tot Smi]]+TblConstr[[#This Row],[Dest Smi]])/(TblConstr[[#This Row],[Land]]-TblExplore[[#This Row],[Land Bonus]]*20)</f>
        <v>0</v>
      </c>
      <c r="AD100" s="137"/>
      <c r="AE100" s="246">
        <f>TblMili[[#This Row],[Hour]]</f>
        <v>97</v>
      </c>
      <c r="AF100" s="138">
        <f ca="1">TblExplore[[#This Row],[Time]]</f>
        <v>46105.749999999767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196757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46105.749999999767</v>
      </c>
      <c r="AW100" s="94">
        <f ca="1">TblMili[[#This Row],[Draftees]]</f>
        <v>693</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315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0.81818181818181823</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4</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3</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0.1</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697</v>
      </c>
      <c r="C101" s="157">
        <f ca="1">TblPop[[#This Row],[Military%]]</f>
        <v>0.64776951672862448</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2450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697</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697</v>
      </c>
      <c r="X101" s="247">
        <f ca="1">TblConstr[[#This Row],[Land]]</f>
        <v>110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697</v>
      </c>
      <c r="AB101" s="154"/>
      <c r="AC101" s="180">
        <f ca="1">(TblConstr[[#This Row],[Tot Smi]]+TblConstr[[#This Row],[Dest Smi]])/(TblConstr[[#This Row],[Land]]-TblExplore[[#This Row],[Land Bonus]]*20)</f>
        <v>0</v>
      </c>
      <c r="AD101" s="137"/>
      <c r="AE101" s="246">
        <f>TblMili[[#This Row],[Hour]]</f>
        <v>98</v>
      </c>
      <c r="AF101" s="138">
        <f ca="1">TblExplore[[#This Row],[Time]]</f>
        <v>46105.791666666431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197791</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46105.791666666431</v>
      </c>
      <c r="AW101" s="94">
        <f ca="1">TblMili[[#This Row],[Draftees]]</f>
        <v>697</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315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0.81818181818181823</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4</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3</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0.1</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701</v>
      </c>
      <c r="C102" s="157">
        <f ca="1">TblPop[[#This Row],[Military%]]</f>
        <v>0.6514869888475836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2450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701</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701</v>
      </c>
      <c r="X102" s="247">
        <f ca="1">TblConstr[[#This Row],[Land]]</f>
        <v>110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701</v>
      </c>
      <c r="AB102" s="154"/>
      <c r="AC102" s="180">
        <f ca="1">(TblConstr[[#This Row],[Tot Smi]]+TblConstr[[#This Row],[Dest Smi]])/(TblConstr[[#This Row],[Land]]-TblExplore[[#This Row],[Land Bonus]]*20)</f>
        <v>0</v>
      </c>
      <c r="AD102" s="137"/>
      <c r="AE102" s="246">
        <f>TblMili[[#This Row],[Hour]]</f>
        <v>99</v>
      </c>
      <c r="AF102" s="138">
        <f ca="1">TblExplore[[#This Row],[Time]]</f>
        <v>46105.833333333096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198814</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46105.833333333096</v>
      </c>
      <c r="AW102" s="94">
        <f ca="1">TblMili[[#This Row],[Draftees]]</f>
        <v>701</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315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0.81818181818181823</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4</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3</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0.1</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705</v>
      </c>
      <c r="C103" s="157">
        <f ca="1">TblPop[[#This Row],[Military%]]</f>
        <v>0.65520446096654272</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2450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705</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705</v>
      </c>
      <c r="X103" s="247">
        <f ca="1">TblConstr[[#This Row],[Land]]</f>
        <v>110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705</v>
      </c>
      <c r="AB103" s="154"/>
      <c r="AC103" s="180">
        <f ca="1">(TblConstr[[#This Row],[Tot Smi]]+TblConstr[[#This Row],[Dest Smi]])/(TblConstr[[#This Row],[Land]]-TblExplore[[#This Row],[Land Bonus]]*20)</f>
        <v>0</v>
      </c>
      <c r="AD103" s="137"/>
      <c r="AE103" s="246">
        <f>TblMili[[#This Row],[Hour]]</f>
        <v>100</v>
      </c>
      <c r="AF103" s="138">
        <f ca="1">TblExplore[[#This Row],[Time]]</f>
        <v>46105.87499999976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199826</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46105.87499999976</v>
      </c>
      <c r="AW103" s="94">
        <f ca="1">TblMili[[#This Row],[Draftees]]</f>
        <v>705</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315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0.81818181818181823</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4</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3</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0.1</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709</v>
      </c>
      <c r="C104" s="157">
        <f ca="1">TblPop[[#This Row],[Military%]]</f>
        <v>0.65892193308550184</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2450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709</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709</v>
      </c>
      <c r="X104" s="247">
        <f ca="1">TblConstr[[#This Row],[Land]]</f>
        <v>110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709</v>
      </c>
      <c r="AB104" s="154"/>
      <c r="AC104" s="180">
        <f ca="1">(TblConstr[[#This Row],[Tot Smi]]+TblConstr[[#This Row],[Dest Smi]])/(TblConstr[[#This Row],[Land]]-TblExplore[[#This Row],[Land Bonus]]*20)</f>
        <v>0</v>
      </c>
      <c r="AD104" s="137"/>
      <c r="AE104" s="246">
        <f>TblMili[[#This Row],[Hour]]</f>
        <v>101</v>
      </c>
      <c r="AF104" s="138">
        <f ca="1">TblExplore[[#This Row],[Time]]</f>
        <v>46105.916666666424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200827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46105.916666666424</v>
      </c>
      <c r="AW104" s="94">
        <f ca="1">TblMili[[#This Row],[Draftees]]</f>
        <v>709</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315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0.81818181818181823</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4</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3</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0.1</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713</v>
      </c>
      <c r="C105" s="157">
        <f ca="1">TblPop[[#This Row],[Military%]]</f>
        <v>0.66263940520446096</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2450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713</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713</v>
      </c>
      <c r="X105" s="247">
        <f ca="1">TblConstr[[#This Row],[Land]]</f>
        <v>110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713</v>
      </c>
      <c r="AB105" s="154"/>
      <c r="AC105" s="180">
        <f ca="1">(TblConstr[[#This Row],[Tot Smi]]+TblConstr[[#This Row],[Dest Smi]])/(TblConstr[[#This Row],[Land]]-TblExplore[[#This Row],[Land Bonus]]*20)</f>
        <v>0</v>
      </c>
      <c r="AD105" s="137"/>
      <c r="AE105" s="246">
        <f>TblMili[[#This Row],[Hour]]</f>
        <v>102</v>
      </c>
      <c r="AF105" s="138">
        <f ca="1">TblExplore[[#This Row],[Time]]</f>
        <v>46105.958333333088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201817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46105.958333333088</v>
      </c>
      <c r="AW105" s="94">
        <f ca="1">TblMili[[#This Row],[Draftees]]</f>
        <v>713</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315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0.81818181818181823</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4</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3</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0.1</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717</v>
      </c>
      <c r="C106" s="157">
        <f ca="1">TblPop[[#This Row],[Military%]]</f>
        <v>0.66635687732342008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2450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717</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717</v>
      </c>
      <c r="X106" s="247">
        <f ca="1">TblConstr[[#This Row],[Land]]</f>
        <v>110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717</v>
      </c>
      <c r="AB106" s="154"/>
      <c r="AC106" s="180">
        <f ca="1">(TblConstr[[#This Row],[Tot Smi]]+TblConstr[[#This Row],[Dest Smi]])/(TblConstr[[#This Row],[Land]]-TblExplore[[#This Row],[Land Bonus]]*20)</f>
        <v>0</v>
      </c>
      <c r="AD106" s="137"/>
      <c r="AE106" s="246">
        <f>TblMili[[#This Row],[Hour]]</f>
        <v>103</v>
      </c>
      <c r="AF106" s="138">
        <f ca="1">TblExplore[[#This Row],[Time]]</f>
        <v>46105.999999999753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202797</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46105.999999999753</v>
      </c>
      <c r="AW106" s="94">
        <f ca="1">TblMili[[#This Row],[Draftees]]</f>
        <v>717</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315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0.81818181818181823</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4</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3</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0.1</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721</v>
      </c>
      <c r="C107" s="157">
        <f ca="1">TblPop[[#This Row],[Military%]]</f>
        <v>0.6700743494423792</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2450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721</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721</v>
      </c>
      <c r="X107" s="247">
        <f ca="1">TblConstr[[#This Row],[Land]]</f>
        <v>110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721</v>
      </c>
      <c r="AB107" s="154"/>
      <c r="AC107" s="180">
        <f ca="1">(TblConstr[[#This Row],[Tot Smi]]+TblConstr[[#This Row],[Dest Smi]])/(TblConstr[[#This Row],[Land]]-TblExplore[[#This Row],[Land Bonus]]*20)</f>
        <v>0</v>
      </c>
      <c r="AD107" s="137"/>
      <c r="AE107" s="246">
        <f>TblMili[[#This Row],[Hour]]</f>
        <v>104</v>
      </c>
      <c r="AF107" s="138">
        <f ca="1">TblExplore[[#This Row],[Time]]</f>
        <v>46106.041666666417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203766</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46106.041666666417</v>
      </c>
      <c r="AW107" s="94">
        <f ca="1">TblMili[[#This Row],[Draftees]]</f>
        <v>721</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315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0.81818181818181823</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4</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3</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0.1</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725</v>
      </c>
      <c r="C108" s="157">
        <f ca="1">TblPop[[#This Row],[Military%]]</f>
        <v>0.67379182156133832</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2450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725</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725</v>
      </c>
      <c r="X108" s="247">
        <f ca="1">TblConstr[[#This Row],[Land]]</f>
        <v>110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725</v>
      </c>
      <c r="AB108" s="154"/>
      <c r="AC108" s="180">
        <f ca="1">(TblConstr[[#This Row],[Tot Smi]]+TblConstr[[#This Row],[Dest Smi]])/(TblConstr[[#This Row],[Land]]-TblExplore[[#This Row],[Land Bonus]]*20)</f>
        <v>0</v>
      </c>
      <c r="AD108" s="137"/>
      <c r="AE108" s="246">
        <f>TblMili[[#This Row],[Hour]]</f>
        <v>105</v>
      </c>
      <c r="AF108" s="138">
        <f ca="1">TblExplore[[#This Row],[Time]]</f>
        <v>46106.083333333081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204724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46106.083333333081</v>
      </c>
      <c r="AW108" s="94">
        <f ca="1">TblMili[[#This Row],[Draftees]]</f>
        <v>725</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315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0.81818181818181823</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4</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3</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0.1</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729</v>
      </c>
      <c r="C109" s="157">
        <f ca="1">TblPop[[#This Row],[Military%]]</f>
        <v>0.67750929368029744</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2450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729</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729</v>
      </c>
      <c r="X109" s="247">
        <f ca="1">TblConstr[[#This Row],[Land]]</f>
        <v>110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729</v>
      </c>
      <c r="AB109" s="154"/>
      <c r="AC109" s="180">
        <f ca="1">(TblConstr[[#This Row],[Tot Smi]]+TblConstr[[#This Row],[Dest Smi]])/(TblConstr[[#This Row],[Land]]-TblExplore[[#This Row],[Land Bonus]]*20)</f>
        <v>0</v>
      </c>
      <c r="AD109" s="137"/>
      <c r="AE109" s="246">
        <f>TblMili[[#This Row],[Hour]]</f>
        <v>106</v>
      </c>
      <c r="AF109" s="138">
        <f ca="1">TblExplore[[#This Row],[Time]]</f>
        <v>46106.124999999745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205671</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46106.124999999745</v>
      </c>
      <c r="AW109" s="94">
        <f ca="1">TblMili[[#This Row],[Draftees]]</f>
        <v>729</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315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0.81818181818181823</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4</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3</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0.1</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732</v>
      </c>
      <c r="C110" s="157">
        <f ca="1">TblPop[[#This Row],[Military%]]</f>
        <v>0.6802973977695167</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2450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732</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732</v>
      </c>
      <c r="X110" s="247">
        <f ca="1">TblConstr[[#This Row],[Land]]</f>
        <v>110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732</v>
      </c>
      <c r="AB110" s="154"/>
      <c r="AC110" s="180">
        <f ca="1">(TblConstr[[#This Row],[Tot Smi]]+TblConstr[[#This Row],[Dest Smi]])/(TblConstr[[#This Row],[Land]]-TblExplore[[#This Row],[Land Bonus]]*20)</f>
        <v>0</v>
      </c>
      <c r="AD110" s="137"/>
      <c r="AE110" s="246">
        <f>TblMili[[#This Row],[Hour]]</f>
        <v>107</v>
      </c>
      <c r="AF110" s="138">
        <f ca="1">TblExplore[[#This Row],[Time]]</f>
        <v>46106.16666666641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206607</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46106.16666666641</v>
      </c>
      <c r="AW110" s="94">
        <f ca="1">TblMili[[#This Row],[Draftees]]</f>
        <v>732</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315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0.81818181818181823</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4</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3</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0.1</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735</v>
      </c>
      <c r="C111" s="157">
        <f ca="1">TblPop[[#This Row],[Military%]]</f>
        <v>0.68308550185873607</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2450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735</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735</v>
      </c>
      <c r="X111" s="247">
        <f ca="1">TblConstr[[#This Row],[Land]]</f>
        <v>110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735</v>
      </c>
      <c r="AB111" s="154"/>
      <c r="AC111" s="180">
        <f ca="1">(TblConstr[[#This Row],[Tot Smi]]+TblConstr[[#This Row],[Dest Smi]])/(TblConstr[[#This Row],[Land]]-TblExplore[[#This Row],[Land Bonus]]*20)</f>
        <v>0</v>
      </c>
      <c r="AD111" s="137"/>
      <c r="AE111" s="246">
        <f>TblMili[[#This Row],[Hour]]</f>
        <v>108</v>
      </c>
      <c r="AF111" s="138">
        <f ca="1">TblExplore[[#This Row],[Time]]</f>
        <v>46106.208333333074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207535</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46106.208333333074</v>
      </c>
      <c r="AW111" s="94">
        <f ca="1">TblMili[[#This Row],[Draftees]]</f>
        <v>735</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315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0.81818181818181823</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4</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3</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0.1</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738</v>
      </c>
      <c r="C112" s="157">
        <f ca="1">TblPop[[#This Row],[Military%]]</f>
        <v>0.68587360594795543</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2450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738</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738</v>
      </c>
      <c r="X112" s="247">
        <f ca="1">TblConstr[[#This Row],[Land]]</f>
        <v>110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738</v>
      </c>
      <c r="AB112" s="154"/>
      <c r="AC112" s="180">
        <f ca="1">(TblConstr[[#This Row],[Tot Smi]]+TblConstr[[#This Row],[Dest Smi]])/(TblConstr[[#This Row],[Land]]-TblExplore[[#This Row],[Land Bonus]]*20)</f>
        <v>0</v>
      </c>
      <c r="AD112" s="137"/>
      <c r="AE112" s="246">
        <f>TblMili[[#This Row],[Hour]]</f>
        <v>109</v>
      </c>
      <c r="AF112" s="138">
        <f ca="1">TblExplore[[#This Row],[Time]]</f>
        <v>46106.249999999738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208455</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46106.249999999738</v>
      </c>
      <c r="AW112" s="94">
        <f ca="1">TblMili[[#This Row],[Draftees]]</f>
        <v>738</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315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0.81818181818181823</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4</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3</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0.1</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741</v>
      </c>
      <c r="C113" s="157">
        <f ca="1">TblPop[[#This Row],[Military%]]</f>
        <v>0.68866171003717469</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2450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741</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741</v>
      </c>
      <c r="X113" s="247">
        <f ca="1">TblConstr[[#This Row],[Land]]</f>
        <v>110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741</v>
      </c>
      <c r="AB113" s="154"/>
      <c r="AC113" s="180">
        <f ca="1">(TblConstr[[#This Row],[Tot Smi]]+TblConstr[[#This Row],[Dest Smi]])/(TblConstr[[#This Row],[Land]]-TblExplore[[#This Row],[Land Bonus]]*20)</f>
        <v>0</v>
      </c>
      <c r="AD113" s="137"/>
      <c r="AE113" s="246">
        <f>TblMili[[#This Row],[Hour]]</f>
        <v>110</v>
      </c>
      <c r="AF113" s="138">
        <f ca="1">TblExplore[[#This Row],[Time]]</f>
        <v>46106.291666666402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209367</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46106.291666666402</v>
      </c>
      <c r="AW113" s="94">
        <f ca="1">TblMili[[#This Row],[Draftees]]</f>
        <v>741</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315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0.81818181818181823</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4</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3</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0.1</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744</v>
      </c>
      <c r="C114" s="157">
        <f ca="1">TblPop[[#This Row],[Military%]]</f>
        <v>0.69144981412639406</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2450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744</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744</v>
      </c>
      <c r="X114" s="247">
        <f ca="1">TblConstr[[#This Row],[Land]]</f>
        <v>110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744</v>
      </c>
      <c r="AB114" s="154"/>
      <c r="AC114" s="180">
        <f ca="1">(TblConstr[[#This Row],[Tot Smi]]+TblConstr[[#This Row],[Dest Smi]])/(TblConstr[[#This Row],[Land]]-TblExplore[[#This Row],[Land Bonus]]*20)</f>
        <v>0</v>
      </c>
      <c r="AD114" s="137"/>
      <c r="AE114" s="246">
        <f>TblMili[[#This Row],[Hour]]</f>
        <v>111</v>
      </c>
      <c r="AF114" s="138">
        <f ca="1">TblExplore[[#This Row],[Time]]</f>
        <v>46106.333333333067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210271</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46106.333333333067</v>
      </c>
      <c r="AW114" s="94">
        <f ca="1">TblMili[[#This Row],[Draftees]]</f>
        <v>744</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315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0.81818181818181823</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4</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3</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0.1</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747</v>
      </c>
      <c r="C115" s="157">
        <f ca="1">TblPop[[#This Row],[Military%]]</f>
        <v>0.69423791821561343</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2450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747</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747</v>
      </c>
      <c r="X115" s="247">
        <f ca="1">TblConstr[[#This Row],[Land]]</f>
        <v>110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747</v>
      </c>
      <c r="AB115" s="154"/>
      <c r="AC115" s="180">
        <f ca="1">(TblConstr[[#This Row],[Tot Smi]]+TblConstr[[#This Row],[Dest Smi]])/(TblConstr[[#This Row],[Land]]-TblExplore[[#This Row],[Land Bonus]]*20)</f>
        <v>0</v>
      </c>
      <c r="AD115" s="137"/>
      <c r="AE115" s="246">
        <f>TblMili[[#This Row],[Hour]]</f>
        <v>112</v>
      </c>
      <c r="AF115" s="138">
        <f ca="1">TblExplore[[#This Row],[Time]]</f>
        <v>46106.374999999731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211167</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46106.374999999731</v>
      </c>
      <c r="AW115" s="94">
        <f ca="1">TblMili[[#This Row],[Draftees]]</f>
        <v>747</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315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0.81818181818181823</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4</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3</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0.1</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750</v>
      </c>
      <c r="C116" s="157">
        <f ca="1">TblPop[[#This Row],[Military%]]</f>
        <v>0.69702602230483268</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2450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750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750</v>
      </c>
      <c r="X116" s="247">
        <f ca="1">TblConstr[[#This Row],[Land]]</f>
        <v>110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750</v>
      </c>
      <c r="AB116" s="154"/>
      <c r="AC116" s="180">
        <f ca="1">(TblConstr[[#This Row],[Tot Smi]]+TblConstr[[#This Row],[Dest Smi]])/(TblConstr[[#This Row],[Land]]-TblExplore[[#This Row],[Land Bonus]]*20)</f>
        <v>0</v>
      </c>
      <c r="AD116" s="137"/>
      <c r="AE116" s="246">
        <f>TblMili[[#This Row],[Hour]]</f>
        <v>113</v>
      </c>
      <c r="AF116" s="138">
        <f ca="1">TblExplore[[#This Row],[Time]]</f>
        <v>46106.416666666395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212055</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46106.416666666395</v>
      </c>
      <c r="AW116" s="94">
        <f ca="1">TblMili[[#This Row],[Draftees]]</f>
        <v>750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315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0.81818181818181823</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4</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3</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0.1</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753</v>
      </c>
      <c r="C117" s="157">
        <f ca="1">TblPop[[#This Row],[Military%]]</f>
        <v>0.69981412639405205</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2450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753</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753</v>
      </c>
      <c r="X117" s="247">
        <f ca="1">TblConstr[[#This Row],[Land]]</f>
        <v>110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753</v>
      </c>
      <c r="AB117" s="154"/>
      <c r="AC117" s="180">
        <f ca="1">(TblConstr[[#This Row],[Tot Smi]]+TblConstr[[#This Row],[Dest Smi]])/(TblConstr[[#This Row],[Land]]-TblExplore[[#This Row],[Land Bonus]]*20)</f>
        <v>0</v>
      </c>
      <c r="AD117" s="137"/>
      <c r="AE117" s="246">
        <f>TblMili[[#This Row],[Hour]]</f>
        <v>114</v>
      </c>
      <c r="AF117" s="138">
        <f ca="1">TblExplore[[#This Row],[Time]]</f>
        <v>46106.458333333059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212935</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46106.458333333059</v>
      </c>
      <c r="AW117" s="94">
        <f ca="1">TblMili[[#This Row],[Draftees]]</f>
        <v>753</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315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0.81818181818181823</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4</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3</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0.1</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756</v>
      </c>
      <c r="C118" s="157">
        <f ca="1">TblPop[[#This Row],[Military%]]</f>
        <v>0.70260223048327142</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2450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756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756</v>
      </c>
      <c r="X118" s="247">
        <f ca="1">TblConstr[[#This Row],[Land]]</f>
        <v>110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756</v>
      </c>
      <c r="AB118" s="154"/>
      <c r="AC118" s="180">
        <f ca="1">(TblConstr[[#This Row],[Tot Smi]]+TblConstr[[#This Row],[Dest Smi]])/(TblConstr[[#This Row],[Land]]-TblExplore[[#This Row],[Land Bonus]]*20)</f>
        <v>0</v>
      </c>
      <c r="AD118" s="137"/>
      <c r="AE118" s="246">
        <f>TblMili[[#This Row],[Hour]]</f>
        <v>115</v>
      </c>
      <c r="AF118" s="138">
        <f ca="1">TblExplore[[#This Row],[Time]]</f>
        <v>46106.499999999724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213807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46106.499999999724</v>
      </c>
      <c r="AW118" s="94">
        <f ca="1">TblMili[[#This Row],[Draftees]]</f>
        <v>756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315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0.81818181818181823</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4</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3</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0.1</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759</v>
      </c>
      <c r="C119" s="157">
        <f ca="1">TblPop[[#This Row],[Military%]]</f>
        <v>0.70539033457249067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2450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759</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759</v>
      </c>
      <c r="X119" s="247">
        <f ca="1">TblConstr[[#This Row],[Land]]</f>
        <v>110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759</v>
      </c>
      <c r="AB119" s="154"/>
      <c r="AC119" s="180">
        <f ca="1">(TblConstr[[#This Row],[Tot Smi]]+TblConstr[[#This Row],[Dest Smi]])/(TblConstr[[#This Row],[Land]]-TblExplore[[#This Row],[Land Bonus]]*20)</f>
        <v>0</v>
      </c>
      <c r="AD119" s="137"/>
      <c r="AE119" s="246">
        <f>TblMili[[#This Row],[Hour]]</f>
        <v>116</v>
      </c>
      <c r="AF119" s="138">
        <f ca="1">TblExplore[[#This Row],[Time]]</f>
        <v>46106.541666666388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214671</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46106.541666666388</v>
      </c>
      <c r="AW119" s="94">
        <f ca="1">TblMili[[#This Row],[Draftees]]</f>
        <v>759</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315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0.81818181818181823</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4</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3</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0.1</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762</v>
      </c>
      <c r="C120" s="157">
        <f ca="1">TblPop[[#This Row],[Military%]]</f>
        <v>0.70817843866171004</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2450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762</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762</v>
      </c>
      <c r="X120" s="247">
        <f ca="1">TblConstr[[#This Row],[Land]]</f>
        <v>110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762</v>
      </c>
      <c r="AB120" s="154"/>
      <c r="AC120" s="180">
        <f ca="1">(TblConstr[[#This Row],[Tot Smi]]+TblConstr[[#This Row],[Dest Smi]])/(TblConstr[[#This Row],[Land]]-TblExplore[[#This Row],[Land Bonus]]*20)</f>
        <v>0</v>
      </c>
      <c r="AD120" s="137"/>
      <c r="AE120" s="246">
        <f>TblMili[[#This Row],[Hour]]</f>
        <v>117</v>
      </c>
      <c r="AF120" s="138">
        <f ca="1">TblExplore[[#This Row],[Time]]</f>
        <v>46106.583333333052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215526</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46106.583333333052</v>
      </c>
      <c r="AW120" s="94">
        <f ca="1">TblMili[[#This Row],[Draftees]]</f>
        <v>762</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315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0.81818181818181823</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4</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3</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0.1</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765</v>
      </c>
      <c r="C121" s="157">
        <f ca="1">TblPop[[#This Row],[Military%]]</f>
        <v>0.71096654275092941</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2450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765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765</v>
      </c>
      <c r="X121" s="247">
        <f ca="1">TblConstr[[#This Row],[Land]]</f>
        <v>110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765</v>
      </c>
      <c r="AB121" s="154"/>
      <c r="AC121" s="180">
        <f ca="1">(TblConstr[[#This Row],[Tot Smi]]+TblConstr[[#This Row],[Dest Smi]])/(TblConstr[[#This Row],[Land]]-TblExplore[[#This Row],[Land Bonus]]*20)</f>
        <v>0</v>
      </c>
      <c r="AD121" s="137"/>
      <c r="AE121" s="246">
        <f>TblMili[[#This Row],[Hour]]</f>
        <v>118</v>
      </c>
      <c r="AF121" s="138">
        <f ca="1">TblExplore[[#This Row],[Time]]</f>
        <v>46106.624999999716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216373</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46106.624999999716</v>
      </c>
      <c r="AW121" s="94">
        <f ca="1">TblMili[[#This Row],[Draftees]]</f>
        <v>765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315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0.81818181818181823</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4</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3</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0.1</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768</v>
      </c>
      <c r="C122" s="157">
        <f ca="1">TblPop[[#This Row],[Military%]]</f>
        <v>0.71375464684014867</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2450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768</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768</v>
      </c>
      <c r="X122" s="247">
        <f ca="1">TblConstr[[#This Row],[Land]]</f>
        <v>110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768</v>
      </c>
      <c r="AB122" s="154"/>
      <c r="AC122" s="180">
        <f ca="1">(TblConstr[[#This Row],[Tot Smi]]+TblConstr[[#This Row],[Dest Smi]])/(TblConstr[[#This Row],[Land]]-TblExplore[[#This Row],[Land Bonus]]*20)</f>
        <v>0</v>
      </c>
      <c r="AD122" s="137"/>
      <c r="AE122" s="246">
        <f>TblMili[[#This Row],[Hour]]</f>
        <v>119</v>
      </c>
      <c r="AF122" s="138">
        <f ca="1">TblExplore[[#This Row],[Time]]</f>
        <v>46106.66666666638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217212</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46106.66666666638</v>
      </c>
      <c r="AW122" s="94">
        <f ca="1">TblMili[[#This Row],[Draftees]]</f>
        <v>768</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315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0.81818181818181823</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4</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3</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0.1</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771</v>
      </c>
      <c r="C123" s="157">
        <f ca="1">TblPop[[#This Row],[Military%]]</f>
        <v>0.71654275092936803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2450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771</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771</v>
      </c>
      <c r="X123" s="247">
        <f ca="1">TblConstr[[#This Row],[Land]]</f>
        <v>110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771</v>
      </c>
      <c r="AB123" s="154"/>
      <c r="AC123" s="180">
        <f ca="1">(TblConstr[[#This Row],[Tot Smi]]+TblConstr[[#This Row],[Dest Smi]])/(TblConstr[[#This Row],[Land]]-TblExplore[[#This Row],[Land Bonus]]*20)</f>
        <v>0</v>
      </c>
      <c r="AD123" s="137"/>
      <c r="AE123" s="246">
        <f>TblMili[[#This Row],[Hour]]</f>
        <v>120</v>
      </c>
      <c r="AF123" s="138">
        <f ca="1">TblExplore[[#This Row],[Time]]</f>
        <v>46106.708333333045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218043</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46106.708333333045</v>
      </c>
      <c r="AW123" s="94">
        <f ca="1">TblMili[[#This Row],[Draftees]]</f>
        <v>771</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315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0.81818181818181823</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4</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3</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0.1</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774</v>
      </c>
      <c r="C124" s="157">
        <f ca="1">TblPop[[#This Row],[Military%]]</f>
        <v>0.7193308550185874</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2450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774</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774</v>
      </c>
      <c r="X124" s="247">
        <f ca="1">TblConstr[[#This Row],[Land]]</f>
        <v>110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774</v>
      </c>
      <c r="AB124" s="154"/>
      <c r="AC124" s="180">
        <f ca="1">(TblConstr[[#This Row],[Tot Smi]]+TblConstr[[#This Row],[Dest Smi]])/(TblConstr[[#This Row],[Land]]-TblExplore[[#This Row],[Land Bonus]]*20)</f>
        <v>0</v>
      </c>
      <c r="AD124" s="256"/>
      <c r="AE124" s="257">
        <f>TblMili[[#This Row],[Hour]]</f>
        <v>121</v>
      </c>
      <c r="AF124" s="138">
        <f ca="1">TblExplore[[#This Row],[Time]]</f>
        <v>46106.749999999709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218866</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46106.749999999709</v>
      </c>
      <c r="AW124" s="94">
        <f ca="1">TblMili[[#This Row],[Draftees]]</f>
        <v>774</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315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0.81818181818181823</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4</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3</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0.1</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777</v>
      </c>
      <c r="C125" s="157">
        <f ca="1">TblPop[[#This Row],[Military%]]</f>
        <v>0.72211895910780666</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2450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777</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777</v>
      </c>
      <c r="X125" s="247">
        <f ca="1">TblConstr[[#This Row],[Land]]</f>
        <v>110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777</v>
      </c>
      <c r="AB125" s="154"/>
      <c r="AC125" s="180">
        <f ca="1">(TblConstr[[#This Row],[Tot Smi]]+TblConstr[[#This Row],[Dest Smi]])/(TblConstr[[#This Row],[Land]]-TblExplore[[#This Row],[Land Bonus]]*20)</f>
        <v>0</v>
      </c>
      <c r="AD125" s="137"/>
      <c r="AE125" s="246">
        <f>TblMili[[#This Row],[Hour]]</f>
        <v>122</v>
      </c>
      <c r="AF125" s="138">
        <f ca="1">TblExplore[[#This Row],[Time]]</f>
        <v>46106.791666666373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219681</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46106.791666666373</v>
      </c>
      <c r="AW125" s="94">
        <f ca="1">TblMili[[#This Row],[Draftees]]</f>
        <v>777</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315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0.81818181818181823</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4</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3</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0.1</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780</v>
      </c>
      <c r="C126" s="157">
        <f ca="1">TblPop[[#This Row],[Military%]]</f>
        <v>0.72490706319702602</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2450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780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780</v>
      </c>
      <c r="X126" s="247">
        <f ca="1">TblConstr[[#This Row],[Land]]</f>
        <v>110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780</v>
      </c>
      <c r="AB126" s="154"/>
      <c r="AC126" s="180">
        <f ca="1">(TblConstr[[#This Row],[Tot Smi]]+TblConstr[[#This Row],[Dest Smi]])/(TblConstr[[#This Row],[Land]]-TblExplore[[#This Row],[Land Bonus]]*20)</f>
        <v>0</v>
      </c>
      <c r="AD126" s="137"/>
      <c r="AE126" s="246">
        <f>TblMili[[#This Row],[Hour]]</f>
        <v>123</v>
      </c>
      <c r="AF126" s="138">
        <f ca="1">TblExplore[[#This Row],[Time]]</f>
        <v>46106.833333333037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220488</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46106.833333333037</v>
      </c>
      <c r="AW126" s="94">
        <f ca="1">TblMili[[#This Row],[Draftees]]</f>
        <v>780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315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0.81818181818181823</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4</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3</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0.1</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783</v>
      </c>
      <c r="C127" s="157">
        <f ca="1">TblPop[[#This Row],[Military%]]</f>
        <v>0.72769516728624539</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2450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783</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783</v>
      </c>
      <c r="X127" s="247">
        <f ca="1">TblConstr[[#This Row],[Land]]</f>
        <v>110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783</v>
      </c>
      <c r="AB127" s="154"/>
      <c r="AC127" s="180">
        <f ca="1">(TblConstr[[#This Row],[Tot Smi]]+TblConstr[[#This Row],[Dest Smi]])/(TblConstr[[#This Row],[Land]]-TblExplore[[#This Row],[Land Bonus]]*20)</f>
        <v>0</v>
      </c>
      <c r="AD127" s="137"/>
      <c r="AE127" s="246">
        <f>TblMili[[#This Row],[Hour]]</f>
        <v>124</v>
      </c>
      <c r="AF127" s="138">
        <f ca="1">TblExplore[[#This Row],[Time]]</f>
        <v>46106.874999999702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221287</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46106.874999999702</v>
      </c>
      <c r="AW127" s="94">
        <f ca="1">TblMili[[#This Row],[Draftees]]</f>
        <v>783</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315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0.81818181818181823</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4</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3</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0.1</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786</v>
      </c>
      <c r="C128" s="157">
        <f ca="1">TblPop[[#This Row],[Military%]]</f>
        <v>0.73048327137546465</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2450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786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786</v>
      </c>
      <c r="X128" s="247">
        <f ca="1">TblConstr[[#This Row],[Land]]</f>
        <v>110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786</v>
      </c>
      <c r="AB128" s="154"/>
      <c r="AC128" s="180">
        <f ca="1">(TblConstr[[#This Row],[Tot Smi]]+TblConstr[[#This Row],[Dest Smi]])/(TblConstr[[#This Row],[Land]]-TblExplore[[#This Row],[Land Bonus]]*20)</f>
        <v>0</v>
      </c>
      <c r="AD128" s="137"/>
      <c r="AE128" s="246">
        <f>TblMili[[#This Row],[Hour]]</f>
        <v>125</v>
      </c>
      <c r="AF128" s="138">
        <f ca="1">TblExplore[[#This Row],[Time]]</f>
        <v>46106.916666666366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222078</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46106.916666666366</v>
      </c>
      <c r="AW128" s="94">
        <f ca="1">TblMili[[#This Row],[Draftees]]</f>
        <v>786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315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0.81818181818181823</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4</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3</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0.1</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789</v>
      </c>
      <c r="C129" s="157">
        <f ca="1">TblPop[[#This Row],[Military%]]</f>
        <v>0.73327137546468402</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2450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789</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789</v>
      </c>
      <c r="X129" s="247">
        <f ca="1">TblConstr[[#This Row],[Land]]</f>
        <v>110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789</v>
      </c>
      <c r="AB129" s="154"/>
      <c r="AC129" s="180">
        <f ca="1">(TblConstr[[#This Row],[Tot Smi]]+TblConstr[[#This Row],[Dest Smi]])/(TblConstr[[#This Row],[Land]]-TblExplore[[#This Row],[Land Bonus]]*20)</f>
        <v>0</v>
      </c>
      <c r="AD129" s="137"/>
      <c r="AE129" s="246">
        <f>TblMili[[#This Row],[Hour]]</f>
        <v>126</v>
      </c>
      <c r="AF129" s="138">
        <f ca="1">TblExplore[[#This Row],[Time]]</f>
        <v>46106.95833333303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222861</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46106.95833333303</v>
      </c>
      <c r="AW129" s="94">
        <f ca="1">TblMili[[#This Row],[Draftees]]</f>
        <v>789</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315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0.81818181818181823</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4</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3</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0.1</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792</v>
      </c>
      <c r="C130" s="157">
        <f ca="1">TblPop[[#This Row],[Military%]]</f>
        <v>0.73605947955390338</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2450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792</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792</v>
      </c>
      <c r="X130" s="247">
        <f ca="1">TblConstr[[#This Row],[Land]]</f>
        <v>110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792</v>
      </c>
      <c r="AB130" s="154"/>
      <c r="AC130" s="180">
        <f ca="1">(TblConstr[[#This Row],[Tot Smi]]+TblConstr[[#This Row],[Dest Smi]])/(TblConstr[[#This Row],[Land]]-TblExplore[[#This Row],[Land Bonus]]*20)</f>
        <v>0</v>
      </c>
      <c r="AD130" s="137"/>
      <c r="AE130" s="246">
        <f>TblMili[[#This Row],[Hour]]</f>
        <v>127</v>
      </c>
      <c r="AF130" s="138">
        <f ca="1">TblExplore[[#This Row],[Time]]</f>
        <v>46106.999999999694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223635</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46106.999999999694</v>
      </c>
      <c r="AW130" s="94">
        <f ca="1">TblMili[[#This Row],[Draftees]]</f>
        <v>792</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315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0.81818181818181823</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4</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3</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0.1</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795</v>
      </c>
      <c r="C131" s="157">
        <f ca="1">TblPop[[#This Row],[Military%]]</f>
        <v>0.73884758364312264</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2450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795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795</v>
      </c>
      <c r="X131" s="247">
        <f ca="1">TblConstr[[#This Row],[Land]]</f>
        <v>110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795</v>
      </c>
      <c r="AB131" s="154"/>
      <c r="AC131" s="180">
        <f ca="1">(TblConstr[[#This Row],[Tot Smi]]+TblConstr[[#This Row],[Dest Smi]])/(TblConstr[[#This Row],[Land]]-TblExplore[[#This Row],[Land Bonus]]*20)</f>
        <v>0</v>
      </c>
      <c r="AD131" s="137"/>
      <c r="AE131" s="246">
        <f>TblMili[[#This Row],[Hour]]</f>
        <v>128</v>
      </c>
      <c r="AF131" s="138">
        <f ca="1">TblExplore[[#This Row],[Time]]</f>
        <v>46107.041666666359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224401</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46107.041666666359</v>
      </c>
      <c r="AW131" s="94">
        <f ca="1">TblMili[[#This Row],[Draftees]]</f>
        <v>795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315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0.81818181818181823</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4</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3</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0.1</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798</v>
      </c>
      <c r="C132" s="157">
        <f ca="1">TblPop[[#This Row],[Military%]]</f>
        <v>0.74163568773234201</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2450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798</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798</v>
      </c>
      <c r="X132" s="247">
        <f ca="1">TblConstr[[#This Row],[Land]]</f>
        <v>110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798</v>
      </c>
      <c r="AB132" s="154"/>
      <c r="AC132" s="180">
        <f ca="1">(TblConstr[[#This Row],[Tot Smi]]+TblConstr[[#This Row],[Dest Smi]])/(TblConstr[[#This Row],[Land]]-TblExplore[[#This Row],[Land Bonus]]*20)</f>
        <v>0</v>
      </c>
      <c r="AD132" s="137"/>
      <c r="AE132" s="246">
        <f>TblMili[[#This Row],[Hour]]</f>
        <v>129</v>
      </c>
      <c r="AF132" s="138">
        <f ca="1">TblExplore[[#This Row],[Time]]</f>
        <v>46107.083333333023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225159</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46107.083333333023</v>
      </c>
      <c r="AW132" s="94">
        <f ca="1">TblMili[[#This Row],[Draftees]]</f>
        <v>798</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315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0.81818181818181823</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4</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3</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0.1</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801</v>
      </c>
      <c r="C133" s="157">
        <f ca="1">TblPop[[#This Row],[Military%]]</f>
        <v>0.74442379182156138</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2450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801</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801</v>
      </c>
      <c r="X133" s="247">
        <f ca="1">TblConstr[[#This Row],[Land]]</f>
        <v>110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801</v>
      </c>
      <c r="AB133" s="154"/>
      <c r="AC133" s="180">
        <f ca="1">(TblConstr[[#This Row],[Tot Smi]]+TblConstr[[#This Row],[Dest Smi]])/(TblConstr[[#This Row],[Land]]-TblExplore[[#This Row],[Land Bonus]]*20)</f>
        <v>0</v>
      </c>
      <c r="AD133" s="137"/>
      <c r="AE133" s="246">
        <f>TblMili[[#This Row],[Hour]]</f>
        <v>130</v>
      </c>
      <c r="AF133" s="138">
        <f ca="1">TblExplore[[#This Row],[Time]]</f>
        <v>46107.124999999687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225909</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46107.124999999687</v>
      </c>
      <c r="AW133" s="94">
        <f ca="1">TblMili[[#This Row],[Draftees]]</f>
        <v>801</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315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0.81818181818181823</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4</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3</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0.1</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804</v>
      </c>
      <c r="C134" s="157">
        <f ca="1">TblPop[[#This Row],[Military%]]</f>
        <v>0.74721189591078063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2450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804</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804</v>
      </c>
      <c r="X134" s="247">
        <f ca="1">TblConstr[[#This Row],[Land]]</f>
        <v>110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804</v>
      </c>
      <c r="AB134" s="154"/>
      <c r="AC134" s="180">
        <f ca="1">(TblConstr[[#This Row],[Tot Smi]]+TblConstr[[#This Row],[Dest Smi]])/(TblConstr[[#This Row],[Land]]-TblExplore[[#This Row],[Land Bonus]]*20)</f>
        <v>0</v>
      </c>
      <c r="AD134" s="137"/>
      <c r="AE134" s="246">
        <f>TblMili[[#This Row],[Hour]]</f>
        <v>131</v>
      </c>
      <c r="AF134" s="138">
        <f ca="1">TblExplore[[#This Row],[Time]]</f>
        <v>46107.166666666351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226651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46107.166666666351</v>
      </c>
      <c r="AW134" s="94">
        <f ca="1">TblMili[[#This Row],[Draftees]]</f>
        <v>804</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315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0.81818181818181823</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4</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3</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0.1</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807</v>
      </c>
      <c r="C135" s="157">
        <f ca="1">TblPop[[#This Row],[Military%]]</f>
        <v>0.75</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2450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807</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807</v>
      </c>
      <c r="X135" s="247">
        <f ca="1">TblConstr[[#This Row],[Land]]</f>
        <v>110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807</v>
      </c>
      <c r="AB135" s="154"/>
      <c r="AC135" s="180">
        <f ca="1">(TblConstr[[#This Row],[Tot Smi]]+TblConstr[[#This Row],[Dest Smi]])/(TblConstr[[#This Row],[Land]]-TblExplore[[#This Row],[Land Bonus]]*20)</f>
        <v>0</v>
      </c>
      <c r="AD135" s="137"/>
      <c r="AE135" s="246">
        <f>TblMili[[#This Row],[Hour]]</f>
        <v>132</v>
      </c>
      <c r="AF135" s="138">
        <f ca="1">TblExplore[[#This Row],[Time]]</f>
        <v>46107.208333333016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227385</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46107.208333333016</v>
      </c>
      <c r="AW135" s="94">
        <f ca="1">TblMili[[#This Row],[Draftees]]</f>
        <v>807</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315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0.81818181818181823</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4</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3</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0.1</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810</v>
      </c>
      <c r="C136" s="157">
        <f ca="1">TblPop[[#This Row],[Military%]]</f>
        <v>0.75278810408921937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2450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810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810</v>
      </c>
      <c r="X136" s="247">
        <f ca="1">TblConstr[[#This Row],[Land]]</f>
        <v>110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810</v>
      </c>
      <c r="AB136" s="154"/>
      <c r="AC136" s="180">
        <f ca="1">(TblConstr[[#This Row],[Tot Smi]]+TblConstr[[#This Row],[Dest Smi]])/(TblConstr[[#This Row],[Land]]-TblExplore[[#This Row],[Land Bonus]]*20)</f>
        <v>0</v>
      </c>
      <c r="AD136" s="246"/>
      <c r="AE136" s="246">
        <f>TblMili[[#This Row],[Hour]]</f>
        <v>133</v>
      </c>
      <c r="AF136" s="138">
        <f ca="1">TblExplore[[#This Row],[Time]]</f>
        <v>46107.24999999968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228111</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46107.24999999968</v>
      </c>
      <c r="AW136" s="94">
        <f ca="1">TblMili[[#This Row],[Draftees]]</f>
        <v>810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315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0.81818181818181823</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4</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3</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0.1</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28" priority="37" stopIfTrue="1">
      <formula>ROW()-2=#REF!</formula>
    </cfRule>
  </conditionalFormatting>
  <conditionalFormatting sqref="A1269:DF1270">
    <cfRule type="expression" dxfId="27" priority="38" stopIfTrue="1">
      <formula>$B$1270&gt;144</formula>
    </cfRule>
  </conditionalFormatting>
  <conditionalFormatting sqref="A4:DI136">
    <cfRule type="expression" dxfId="26" priority="1" stopIfTrue="1">
      <formula>ROW()-3=$B$1270</formula>
    </cfRule>
    <cfRule type="expression" dxfId="25" priority="2" stopIfTrue="1">
      <formula>OR(ROW()-3=$B$1270,A4&lt;0)</formula>
    </cfRule>
    <cfRule type="expression" dxfId="24" priority="35">
      <formula>$A4=37</formula>
    </cfRule>
  </conditionalFormatting>
  <conditionalFormatting sqref="A3:DI136">
    <cfRule type="expression" dxfId="23" priority="39">
      <formula>ROUND(($A3-1)/12,0)=INT($A3-1)/12</formula>
    </cfRule>
  </conditionalFormatting>
  <conditionalFormatting sqref="A1:AO2 AQ1:AV2 AX1:BU2 BW1:CM1 BY2:CN2 CX2:XFD2 CO1:DD1 DF1:XFD1 A3:XFD3">
    <cfRule type="expression" dxfId="2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1163</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1164</v>
      </c>
    </row>
    <row r="4" spans="1:43" x14ac:dyDescent="0.2">
      <c r="A4" s="137">
        <f>TblRezone[[#This Row],[Hour]]</f>
        <v>1</v>
      </c>
      <c r="B4" s="154">
        <f ca="1">TblConstr[[#This Row],[Land]]</f>
        <v>50</v>
      </c>
      <c r="C4" s="94">
        <f ca="1">TblProd[[#This Row],[Mana]]</f>
        <v>0</v>
      </c>
      <c r="D4" s="397">
        <f>1-TblMagic[[#This Row],[Wiz str cost]]</f>
        <v>1</v>
      </c>
      <c r="E4" s="159">
        <f>Imps!L4</f>
        <v>46101.75</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hidden="1"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46101.791666666664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hidden="1"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46101.833333333328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hidden="1"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46101.874999999993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hidden="1"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46101.916666666657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hidden="1"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46101.958333333321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hidden="1"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46101.999999999985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hidden="1"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46102.04166666665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hidden="1"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46102.083333333314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hidden="1"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46102.124999999978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hidden="1"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46102.166666666642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hidden="1"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46102.208333333307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110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46102.249999999971</v>
      </c>
      <c r="F16" s="156">
        <f ca="1">TblImps[[#This Row],[Population]]</f>
        <v>0.73048327137546465</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hidden="1" x14ac:dyDescent="0.2">
      <c r="A17" s="137">
        <f>TblRezone[[#This Row],[Hour]]</f>
        <v>14</v>
      </c>
      <c r="B17" s="154">
        <f ca="1">TblConstr[[#This Row],[Land]]</f>
        <v>110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46102.291666666635</v>
      </c>
      <c r="F17" s="156">
        <f ca="1">TblImps[[#This Row],[Population]]</f>
        <v>0.74628252788104088</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hidden="1" x14ac:dyDescent="0.2">
      <c r="A18" s="137">
        <f>TblRezone[[#This Row],[Hour]]</f>
        <v>15</v>
      </c>
      <c r="B18" s="154">
        <f ca="1">TblConstr[[#This Row],[Land]]</f>
        <v>110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46102.333333333299</v>
      </c>
      <c r="F18" s="156">
        <f ca="1">TblImps[[#This Row],[Population]]</f>
        <v>0.76208178438661711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hidden="1" x14ac:dyDescent="0.2">
      <c r="A19" s="137">
        <f>TblRezone[[#This Row],[Hour]]</f>
        <v>16</v>
      </c>
      <c r="B19" s="154">
        <f ca="1">TblConstr[[#This Row],[Land]]</f>
        <v>110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46102.374999999964</v>
      </c>
      <c r="F19" s="156">
        <f ca="1">TblImps[[#This Row],[Population]]</f>
        <v>0.77881040892193309</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hidden="1" x14ac:dyDescent="0.2">
      <c r="A20" s="137">
        <f>TblRezone[[#This Row],[Hour]]</f>
        <v>17</v>
      </c>
      <c r="B20" s="154">
        <f ca="1">TblConstr[[#This Row],[Land]]</f>
        <v>110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46102.416666666628</v>
      </c>
      <c r="F20" s="156">
        <f ca="1">TblImps[[#This Row],[Population]]</f>
        <v>0.79553903345724908</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hidden="1" x14ac:dyDescent="0.2">
      <c r="A21" s="137">
        <f>TblRezone[[#This Row],[Hour]]</f>
        <v>18</v>
      </c>
      <c r="B21" s="154">
        <f ca="1">TblConstr[[#This Row],[Land]]</f>
        <v>110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46102.458333333292</v>
      </c>
      <c r="F21" s="156">
        <f ca="1">TblImps[[#This Row],[Population]]</f>
        <v>0.81226765799256506</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hidden="1" x14ac:dyDescent="0.2">
      <c r="A22" s="137">
        <f>TblRezone[[#This Row],[Hour]]</f>
        <v>19</v>
      </c>
      <c r="B22" s="154">
        <f ca="1">TblConstr[[#This Row],[Land]]</f>
        <v>110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46102.499999999956</v>
      </c>
      <c r="F22" s="156">
        <f ca="1">TblImps[[#This Row],[Population]]</f>
        <v>0.8299256505576208</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hidden="1" x14ac:dyDescent="0.2">
      <c r="A23" s="137">
        <f>TblRezone[[#This Row],[Hour]]</f>
        <v>20</v>
      </c>
      <c r="B23" s="154">
        <f ca="1">TblConstr[[#This Row],[Land]]</f>
        <v>110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46102.541666666621</v>
      </c>
      <c r="F23" s="156">
        <f ca="1">TblImps[[#This Row],[Population]]</f>
        <v>0.84758364312267653</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hidden="1" x14ac:dyDescent="0.2">
      <c r="A24" s="137">
        <f>TblRezone[[#This Row],[Hour]]</f>
        <v>21</v>
      </c>
      <c r="B24" s="154">
        <f ca="1">TblConstr[[#This Row],[Land]]</f>
        <v>110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46102.583333333285</v>
      </c>
      <c r="F24" s="156">
        <f ca="1">TblImps[[#This Row],[Population]]</f>
        <v>0.86617100371747213</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hidden="1" x14ac:dyDescent="0.2">
      <c r="A25" s="137">
        <f>TblRezone[[#This Row],[Hour]]</f>
        <v>22</v>
      </c>
      <c r="B25" s="154">
        <f ca="1">TblConstr[[#This Row],[Land]]</f>
        <v>110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46102.624999999949</v>
      </c>
      <c r="F25" s="156">
        <f ca="1">TblImps[[#This Row],[Population]]</f>
        <v>0.88475836431226762</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hidden="1" x14ac:dyDescent="0.2">
      <c r="A26" s="137">
        <f>TblRezone[[#This Row],[Hour]]</f>
        <v>23</v>
      </c>
      <c r="B26" s="154">
        <f ca="1">TblConstr[[#This Row],[Land]]</f>
        <v>110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46102.666666666613</v>
      </c>
      <c r="F26" s="156">
        <f ca="1">TblImps[[#This Row],[Population]]</f>
        <v>0.90334572490706322</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hidden="1" x14ac:dyDescent="0.2">
      <c r="A27" s="137">
        <f>TblRezone[[#This Row],[Hour]]</f>
        <v>24</v>
      </c>
      <c r="B27" s="154">
        <f ca="1">TblConstr[[#This Row],[Land]]</f>
        <v>110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46102.708333333278</v>
      </c>
      <c r="F27" s="156">
        <f ca="1">TblImps[[#This Row],[Population]]</f>
        <v>0.92286245353159846</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110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46102.749999999942</v>
      </c>
      <c r="F28" s="156">
        <f ca="1">TblImps[[#This Row],[Population]]</f>
        <v>0.94237918215613381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110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46102.791666666606</v>
      </c>
      <c r="F29" s="156">
        <f ca="1">TblImps[[#This Row],[Population]]</f>
        <v>0.96282527881040891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110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46102.83333333327</v>
      </c>
      <c r="F30" s="156">
        <f ca="1">TblImps[[#This Row],[Population]]</f>
        <v>0.98327137546468402</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110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46102.874999999935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110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46102.916666666599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110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46102.958333333263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110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46102.999999999927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110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46103.041666666591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110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46103.083333333256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110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46103.12499999992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110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46103.166666666584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110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46103.208333333248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s="5" customFormat="1" x14ac:dyDescent="0.2">
      <c r="A40" s="144">
        <f>TblRezone[[#This Row],[Hour]]</f>
        <v>37</v>
      </c>
      <c r="B40" s="162">
        <f ca="1">TblConstr[[#This Row],[Land]]</f>
        <v>110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46103.249999999913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Row],[Alchemist Frost]],12,IF(OFFSET(TblMagic[[#This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Row],[Infernal Command]],12,IF(OFFSET(TblMagic[[#This Row],[Active Infernal Command]],-1,0)&gt;0,OFFSET(TblMagic[[#This Row],[Active Infernal Command]],-1,0)-1,0))</f>
        <v>0</v>
      </c>
    </row>
    <row r="41" spans="1:43" x14ac:dyDescent="0.2">
      <c r="A41" s="137">
        <f>TblRezone[[#This Row],[Hour]]</f>
        <v>38</v>
      </c>
      <c r="B41" s="154">
        <f ca="1">TblConstr[[#This Row],[Land]]</f>
        <v>110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46103.291666666577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110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46103.333333333241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110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46103.374999999905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110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46103.41666666657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110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46103.458333333234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110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46103.499999999898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110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46103.541666666562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110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46103.583333333227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110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46103.624999999891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110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46103.666666666555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110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46103.708333333219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x14ac:dyDescent="0.2">
      <c r="A52" s="137">
        <f>TblRezone[[#This Row],[Hour]]</f>
        <v>49</v>
      </c>
      <c r="B52" s="154">
        <f ca="1">TblConstr[[#This Row],[Land]]</f>
        <v>110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46103.749999999884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Row],[Infernal Command]],12,IF(OFFSET(TblMagic[[#This Row],[Active Infernal Command]],-1,0)&gt;0,OFFSET(TblMagic[[#This Row],[Active Infernal Command]],-1,0)-1,0))</f>
        <v>0</v>
      </c>
    </row>
    <row r="53" spans="1:43" x14ac:dyDescent="0.2">
      <c r="A53" s="137">
        <f>TblRezone[[#This Row],[Hour]]</f>
        <v>50</v>
      </c>
      <c r="B53" s="154">
        <f ca="1">TblConstr[[#This Row],[Land]]</f>
        <v>110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46103.791666666548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110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46103.833333333212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110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46103.874999999876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110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46103.916666666541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110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46103.958333333205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110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46103.999999999869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110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46104.041666666533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110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46104.083333333198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110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46104.124999999862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110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46104.166666666526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110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46104.20833333319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110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46104.249999999854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110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46104.291666666519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110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46104.333333333183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110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46104.374999999847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110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46104.416666666511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110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46104.458333333176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110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46104.49999999984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110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46104.541666666504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110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46104.583333333168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110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46104.624999999833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110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46104.666666666497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110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46104.708333333161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110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46104.749999999825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110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46104.79166666649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110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46104.833333333154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110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46104.874999999818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110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46104.916666666482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110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46104.958333333147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110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46104.999999999811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110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46105.041666666475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110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46105.083333333139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110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46105.124999999804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110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46105.166666666468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110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46105.208333333132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110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46105.249999999796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110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46105.291666666461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110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46105.333333333125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110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46105.374999999789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110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46105.416666666453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110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46105.458333333117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110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46105.499999999782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110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46105.541666666446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110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46105.58333333311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110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46105.624999999774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110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46105.666666666439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110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46105.708333333103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110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46105.749999999767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110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46105.791666666431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110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46105.833333333096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110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46105.87499999976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110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46105.916666666424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110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46105.958333333088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110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46105.999999999753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110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46106.041666666417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110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46106.083333333081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110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46106.124999999745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110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46106.16666666641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110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46106.208333333074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110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46106.249999999738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110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46106.291666666402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110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46106.333333333067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110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46106.374999999731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110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46106.416666666395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110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46106.458333333059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110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46106.499999999724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110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46106.541666666388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110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46106.583333333052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110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46106.624999999716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110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46106.66666666638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110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46106.708333333045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110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46106.749999999709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110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46106.791666666373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110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46106.833333333037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110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46106.874999999702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110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46106.916666666366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110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46106.95833333303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110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46106.999999999694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110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46107.041666666359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110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46107.083333333023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110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46107.124999999687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110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46107.166666666351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110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46107.208333333016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110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46107.24999999968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1" priority="18" stopIfTrue="1">
      <formula>ROW()-2=#REF!</formula>
    </cfRule>
  </conditionalFormatting>
  <conditionalFormatting sqref="A1269:XFD1270">
    <cfRule type="expression" dxfId="20" priority="19" stopIfTrue="1">
      <formula>$C$1270&gt;144</formula>
    </cfRule>
  </conditionalFormatting>
  <conditionalFormatting sqref="A4:AQ136">
    <cfRule type="expression" dxfId="19" priority="1" stopIfTrue="1">
      <formula>ROW()-3=$C$1270</formula>
    </cfRule>
    <cfRule type="expression" dxfId="18" priority="2" stopIfTrue="1">
      <formula>OR(ROW()-3=$C$1270,A4&lt;0)</formula>
    </cfRule>
    <cfRule type="expression" dxfId="17" priority="3">
      <formula>$A4=37</formula>
    </cfRule>
    <cfRule type="expression" dxfId="16" priority="7">
      <formula>ROUND(($A4-1)/12,0)=INT($A4-1)/12</formula>
    </cfRule>
  </conditionalFormatting>
  <conditionalFormatting sqref="A2:N2 A1:S1 U1:XFD1 P2:XFD2 A3:XFD3">
    <cfRule type="expression" dxfId="15" priority="15">
      <formula>$C$1270&lt;0</formula>
    </cfRule>
  </conditionalFormatting>
  <conditionalFormatting sqref="G4:W136">
    <cfRule type="expression" dxfId="14"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110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110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110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110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110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110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110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110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110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110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110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110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110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110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110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110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110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110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110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110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110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110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110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110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110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110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110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110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110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110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110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110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110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110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110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110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110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110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110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110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110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110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110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110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110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110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110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110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110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110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110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110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110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110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110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110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110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110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110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110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110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110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110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110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110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110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110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110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110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110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110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110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110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110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110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110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110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110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110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110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110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110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110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110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110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110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110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110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110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110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110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110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110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110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110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110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110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110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110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110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110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110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110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110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110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110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110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110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110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110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110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110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110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110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110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110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110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110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110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110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110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G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3" width="11.42578125" style="57" hidden="1" customWidth="1"/>
    <col min="64" max="64" width="3" style="45" hidden="1" customWidth="1"/>
    <col min="65" max="68" width="11.42578125" style="57" hidden="1" customWidth="1"/>
    <col min="69" max="69" width="3" style="45" hidden="1" customWidth="1"/>
    <col min="70" max="73" width="11.42578125" style="57" hidden="1" customWidth="1"/>
    <col min="74" max="74" width="3" style="45" hidden="1" customWidth="1"/>
    <col min="75" max="75" width="12.140625" style="45" hidden="1" customWidth="1"/>
    <col min="76" max="76" width="10.42578125" style="45" hidden="1" customWidth="1"/>
    <col min="77" max="77" width="3" style="45" hidden="1" customWidth="1"/>
    <col min="78" max="78" width="9.85546875" style="45" hidden="1" customWidth="1"/>
    <col min="79" max="79" width="13.5703125" style="45" hidden="1" customWidth="1"/>
    <col min="80" max="80" width="10.7109375" style="45" customWidth="1"/>
    <col min="81" max="81" width="11" style="45" customWidth="1"/>
    <col min="82" max="82" width="10" style="45" customWidth="1"/>
    <col min="83" max="83" width="10.85546875" style="45" bestFit="1" customWidth="1"/>
    <col min="84" max="16384" width="9.140625" style="45"/>
  </cols>
  <sheetData>
    <row r="1" spans="1:85"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K1" s="28"/>
      <c r="BM1" s="531" t="s">
        <v>222</v>
      </c>
      <c r="BN1" s="532"/>
      <c r="BO1" s="532"/>
      <c r="BP1" s="28"/>
      <c r="BR1" s="531" t="s">
        <v>223</v>
      </c>
      <c r="BS1" s="531"/>
      <c r="BT1" s="531"/>
      <c r="BU1" s="28"/>
      <c r="BW1" s="5" t="s">
        <v>306</v>
      </c>
    </row>
    <row r="2" spans="1:85"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K2" s="266" t="s">
        <v>1167</v>
      </c>
      <c r="BM2" s="266" t="s">
        <v>2</v>
      </c>
      <c r="BN2" s="266" t="s">
        <v>7</v>
      </c>
      <c r="BO2" s="266" t="s">
        <v>3</v>
      </c>
      <c r="BP2" s="266" t="s">
        <v>4</v>
      </c>
      <c r="BR2" s="266" t="s">
        <v>2</v>
      </c>
      <c r="BS2" s="266" t="s">
        <v>7</v>
      </c>
      <c r="BT2" s="266" t="s">
        <v>3</v>
      </c>
      <c r="BU2" s="266" t="s">
        <v>4</v>
      </c>
    </row>
    <row r="3" spans="1:85"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1166</v>
      </c>
      <c r="BL3" s="243" t="s">
        <v>1032</v>
      </c>
      <c r="BM3" s="243" t="s">
        <v>953</v>
      </c>
      <c r="BN3" s="243" t="s">
        <v>954</v>
      </c>
      <c r="BO3" s="243" t="s">
        <v>955</v>
      </c>
      <c r="BP3" s="243" t="s">
        <v>956</v>
      </c>
      <c r="BQ3" s="243" t="s">
        <v>1033</v>
      </c>
      <c r="BR3" s="243" t="s">
        <v>957</v>
      </c>
      <c r="BS3" s="243" t="s">
        <v>958</v>
      </c>
      <c r="BT3" s="243" t="s">
        <v>959</v>
      </c>
      <c r="BU3" s="243" t="s">
        <v>960</v>
      </c>
      <c r="BV3" s="135" t="s">
        <v>1034</v>
      </c>
      <c r="BW3" s="282" t="s">
        <v>307</v>
      </c>
      <c r="BX3" s="135" t="s">
        <v>968</v>
      </c>
      <c r="BY3" s="135" t="s">
        <v>1035</v>
      </c>
      <c r="BZ3" s="135" t="s">
        <v>969</v>
      </c>
      <c r="CA3" s="135" t="s">
        <v>308</v>
      </c>
    </row>
    <row r="4" spans="1:85" x14ac:dyDescent="0.2">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46101.75</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57">
        <v>0</v>
      </c>
      <c r="BL4" s="142"/>
      <c r="BM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 s="142"/>
      <c r="BR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 s="142"/>
      <c r="BW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 s="61">
        <f>TblImps[[#This Row],[Login]]</f>
        <v>0</v>
      </c>
      <c r="BY4" s="137"/>
      <c r="BZ4" s="289">
        <f>Overview!E15</f>
        <v>46101.75</v>
      </c>
      <c r="CA4" s="290">
        <f>Overview!B15</f>
        <v>46102</v>
      </c>
      <c r="CB4" s="57"/>
      <c r="CC4" s="291"/>
      <c r="CD4" s="292"/>
    </row>
    <row r="5" spans="1:85" hidden="1" x14ac:dyDescent="0.2">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46101.791666666664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57">
        <f ca="1">IF(OFFSET(TblMagic[[#This Row],[Active Alchemists Flame]],-1,0)&gt;0,TblConstr[[#This Row],[Tot Alc]]*alchemist_flame_invest,0)</f>
        <v>0</v>
      </c>
      <c r="BL5" s="142"/>
      <c r="BM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 s="142"/>
      <c r="BR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 s="142"/>
      <c r="BW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 s="61">
        <f>TblImps[[#This Row],[Login]]</f>
        <v>0</v>
      </c>
      <c r="BY5" s="137"/>
      <c r="BZ5" s="293">
        <f ca="1">OFFSET(TblImps[[#This Row],[Real time]],-1,0)+1/24</f>
        <v>46101.791666666664</v>
      </c>
      <c r="CA5" s="294">
        <f ca="1">OFFSET(TblImps[[#This Row],[Servertime]],-1,0)+1/24</f>
        <v>46102.041666666664</v>
      </c>
      <c r="CB5" s="57"/>
      <c r="CC5" s="292"/>
      <c r="CD5" s="292"/>
    </row>
    <row r="6" spans="1:85" hidden="1" x14ac:dyDescent="0.2">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46101.833333333328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57">
        <f ca="1">IF(OFFSET(TblMagic[[#This Row],[Active Alchemists Flame]],-1,0)&gt;0,TblConstr[[#This Row],[Tot Alc]]*alchemist_flame_invest,0)</f>
        <v>0</v>
      </c>
      <c r="BL6" s="142"/>
      <c r="BM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 s="142"/>
      <c r="BR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 s="142"/>
      <c r="BW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 s="61">
        <f>TblImps[[#This Row],[Login]]</f>
        <v>0</v>
      </c>
      <c r="BY6" s="137"/>
      <c r="BZ6" s="293">
        <f ca="1">OFFSET(TblImps[[#This Row],[Real time]],-1,0)+1/24</f>
        <v>46101.833333333328</v>
      </c>
      <c r="CA6" s="294">
        <f ca="1">OFFSET(TblImps[[#This Row],[Servertime]],-1,0)+1/24</f>
        <v>46102.083333333328</v>
      </c>
      <c r="CB6" s="57"/>
      <c r="CC6" s="292"/>
      <c r="CD6" s="292"/>
      <c r="CG6" s="295"/>
    </row>
    <row r="7" spans="1:85" hidden="1" x14ac:dyDescent="0.2">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46101.874999999993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57">
        <f ca="1">IF(OFFSET(TblMagic[[#This Row],[Active Alchemists Flame]],-1,0)&gt;0,TblConstr[[#This Row],[Tot Alc]]*alchemist_flame_invest,0)</f>
        <v>0</v>
      </c>
      <c r="BL7" s="142"/>
      <c r="BM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 s="142"/>
      <c r="BR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 s="142"/>
      <c r="BW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 s="61">
        <f>TblImps[[#This Row],[Login]]</f>
        <v>0</v>
      </c>
      <c r="BY7" s="137"/>
      <c r="BZ7" s="293">
        <f ca="1">OFFSET(TblImps[[#This Row],[Real time]],-1,0)+1/24</f>
        <v>46101.874999999993</v>
      </c>
      <c r="CA7" s="294">
        <f ca="1">OFFSET(TblImps[[#This Row],[Servertime]],-1,0)+1/24</f>
        <v>46102.124999999993</v>
      </c>
      <c r="CB7" s="57"/>
      <c r="CC7" s="292"/>
      <c r="CD7" s="292"/>
      <c r="CG7" s="296"/>
    </row>
    <row r="8" spans="1:85" hidden="1" x14ac:dyDescent="0.2">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46101.916666666657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57">
        <f ca="1">IF(OFFSET(TblMagic[[#This Row],[Active Alchemists Flame]],-1,0)&gt;0,TblConstr[[#This Row],[Tot Alc]]*alchemist_flame_invest,0)</f>
        <v>0</v>
      </c>
      <c r="BL8" s="142"/>
      <c r="BM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 s="142"/>
      <c r="BR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 s="142"/>
      <c r="BW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 s="61">
        <f>TblImps[[#This Row],[Login]]</f>
        <v>0</v>
      </c>
      <c r="BY8" s="137"/>
      <c r="BZ8" s="293">
        <f ca="1">OFFSET(TblImps[[#This Row],[Real time]],-1,0)+1/24</f>
        <v>46101.916666666657</v>
      </c>
      <c r="CA8" s="294">
        <f ca="1">OFFSET(TblImps[[#This Row],[Servertime]],-1,0)+1/24</f>
        <v>46102.166666666657</v>
      </c>
      <c r="CB8" s="57"/>
      <c r="CC8" s="292"/>
      <c r="CD8" s="292"/>
      <c r="CG8" s="295"/>
    </row>
    <row r="9" spans="1:85" hidden="1" x14ac:dyDescent="0.2">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46101.958333333321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57">
        <f ca="1">IF(OFFSET(TblMagic[[#This Row],[Active Alchemists Flame]],-1,0)&gt;0,TblConstr[[#This Row],[Tot Alc]]*alchemist_flame_invest,0)</f>
        <v>0</v>
      </c>
      <c r="BL9" s="142"/>
      <c r="BM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 s="142"/>
      <c r="BR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 s="142"/>
      <c r="BW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 s="61">
        <f>TblImps[[#This Row],[Login]]</f>
        <v>0</v>
      </c>
      <c r="BY9" s="137"/>
      <c r="BZ9" s="293">
        <f ca="1">OFFSET(TblImps[[#This Row],[Real time]],-1,0)+1/24</f>
        <v>46101.958333333321</v>
      </c>
      <c r="CA9" s="294">
        <f ca="1">OFFSET(TblImps[[#This Row],[Servertime]],-1,0)+1/24</f>
        <v>46102.208333333321</v>
      </c>
      <c r="CB9" s="57"/>
      <c r="CC9" s="292"/>
      <c r="CD9" s="292"/>
      <c r="CG9" s="295"/>
    </row>
    <row r="10" spans="1:85" hidden="1" x14ac:dyDescent="0.2">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46101.999999999985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57">
        <f ca="1">IF(OFFSET(TblMagic[[#This Row],[Active Alchemists Flame]],-1,0)&gt;0,TblConstr[[#This Row],[Tot Alc]]*alchemist_flame_invest,0)</f>
        <v>0</v>
      </c>
      <c r="BL10" s="142"/>
      <c r="BM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 s="142"/>
      <c r="BR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 s="142"/>
      <c r="BW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 s="61">
        <f>TblImps[[#This Row],[Login]]</f>
        <v>0</v>
      </c>
      <c r="BY10" s="137"/>
      <c r="BZ10" s="293">
        <f ca="1">OFFSET(TblImps[[#This Row],[Real time]],-1,0)+1/24</f>
        <v>46101.999999999985</v>
      </c>
      <c r="CA10" s="294">
        <f ca="1">OFFSET(TblImps[[#This Row],[Servertime]],-1,0)+1/24</f>
        <v>46102.249999999985</v>
      </c>
      <c r="CB10" s="57"/>
      <c r="CC10" s="292"/>
      <c r="CD10" s="292"/>
    </row>
    <row r="11" spans="1:85" hidden="1" x14ac:dyDescent="0.2">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46102.04166666665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57">
        <f ca="1">IF(OFFSET(TblMagic[[#This Row],[Active Alchemists Flame]],-1,0)&gt;0,TblConstr[[#This Row],[Tot Alc]]*alchemist_flame_invest,0)</f>
        <v>0</v>
      </c>
      <c r="BL11" s="142"/>
      <c r="BM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 s="142"/>
      <c r="BR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 s="142"/>
      <c r="BW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 s="61">
        <f>TblImps[[#This Row],[Login]]</f>
        <v>0</v>
      </c>
      <c r="BY11" s="137"/>
      <c r="BZ11" s="293">
        <f ca="1">OFFSET(TblImps[[#This Row],[Real time]],-1,0)+1/24</f>
        <v>46102.04166666665</v>
      </c>
      <c r="CA11" s="294">
        <f ca="1">OFFSET(TblImps[[#This Row],[Servertime]],-1,0)+1/24</f>
        <v>46102.29166666665</v>
      </c>
      <c r="CB11" s="57"/>
      <c r="CC11" s="292"/>
      <c r="CD11" s="292"/>
    </row>
    <row r="12" spans="1:85" hidden="1" x14ac:dyDescent="0.2">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46102.083333333314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57">
        <f ca="1">IF(OFFSET(TblMagic[[#This Row],[Active Alchemists Flame]],-1,0)&gt;0,TblConstr[[#This Row],[Tot Alc]]*alchemist_flame_invest,0)</f>
        <v>0</v>
      </c>
      <c r="BL12" s="142"/>
      <c r="BM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 s="142"/>
      <c r="BR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 s="142"/>
      <c r="BW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 s="61">
        <f>TblImps[[#This Row],[Login]]</f>
        <v>0</v>
      </c>
      <c r="BY12" s="137"/>
      <c r="BZ12" s="293">
        <f ca="1">OFFSET(TblImps[[#This Row],[Real time]],-1,0)+1/24</f>
        <v>46102.083333333314</v>
      </c>
      <c r="CA12" s="294">
        <f ca="1">OFFSET(TblImps[[#This Row],[Servertime]],-1,0)+1/24</f>
        <v>46102.333333333314</v>
      </c>
      <c r="CB12" s="57"/>
      <c r="CC12" s="292"/>
      <c r="CD12" s="292"/>
    </row>
    <row r="13" spans="1:85" hidden="1" x14ac:dyDescent="0.2">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46102.124999999978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57">
        <f ca="1">IF(OFFSET(TblMagic[[#This Row],[Active Alchemists Flame]],-1,0)&gt;0,TblConstr[[#This Row],[Tot Alc]]*alchemist_flame_invest,0)</f>
        <v>0</v>
      </c>
      <c r="BL13" s="142"/>
      <c r="BM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 s="142"/>
      <c r="BR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 s="142"/>
      <c r="BW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 s="61">
        <f>TblImps[[#This Row],[Login]]</f>
        <v>0</v>
      </c>
      <c r="BY13" s="137"/>
      <c r="BZ13" s="293">
        <f ca="1">OFFSET(TblImps[[#This Row],[Real time]],-1,0)+1/24</f>
        <v>46102.124999999978</v>
      </c>
      <c r="CA13" s="294">
        <f ca="1">OFFSET(TblImps[[#This Row],[Servertime]],-1,0)+1/24</f>
        <v>46102.374999999978</v>
      </c>
      <c r="CB13" s="57"/>
      <c r="CC13" s="292"/>
      <c r="CD13" s="292"/>
    </row>
    <row r="14" spans="1:85" hidden="1" x14ac:dyDescent="0.2">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46102.166666666642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57">
        <f ca="1">IF(OFFSET(TblMagic[[#This Row],[Active Alchemists Flame]],-1,0)&gt;0,TblConstr[[#This Row],[Tot Alc]]*alchemist_flame_invest,0)</f>
        <v>0</v>
      </c>
      <c r="BL14" s="142"/>
      <c r="BM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4" s="142"/>
      <c r="BR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4" s="142"/>
      <c r="BW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4" s="61">
        <f>TblImps[[#This Row],[Login]]</f>
        <v>0</v>
      </c>
      <c r="BY14" s="137"/>
      <c r="BZ14" s="293">
        <f ca="1">OFFSET(TblImps[[#This Row],[Real time]],-1,0)+1/24</f>
        <v>46102.166666666642</v>
      </c>
      <c r="CA14" s="294">
        <f ca="1">OFFSET(TblImps[[#This Row],[Servertime]],-1,0)+1/24</f>
        <v>46102.416666666642</v>
      </c>
      <c r="CB14" s="57"/>
      <c r="CC14" s="292"/>
      <c r="CD14" s="292"/>
    </row>
    <row r="15" spans="1:85" hidden="1" x14ac:dyDescent="0.2">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46102.208333333307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57">
        <f ca="1">IF(OFFSET(TblMagic[[#This Row],[Active Alchemists Flame]],-1,0)&gt;0,TblConstr[[#This Row],[Tot Alc]]*alchemist_flame_invest,0)</f>
        <v>0</v>
      </c>
      <c r="BL15" s="142"/>
      <c r="BM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5" s="142"/>
      <c r="BR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5" s="142"/>
      <c r="BW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5" s="61">
        <f>TblImps[[#This Row],[Login]]</f>
        <v>0</v>
      </c>
      <c r="BY15" s="137"/>
      <c r="BZ15" s="293">
        <f ca="1">OFFSET(TblImps[[#This Row],[Real time]],-1,0)+1/24</f>
        <v>46102.208333333307</v>
      </c>
      <c r="CA15" s="294">
        <f ca="1">OFFSET(TblImps[[#This Row],[Servertime]],-1,0)+1/24</f>
        <v>46102.458333333307</v>
      </c>
      <c r="CB15" s="57"/>
      <c r="CC15" s="292"/>
      <c r="CD15" s="292"/>
    </row>
    <row r="16" spans="1:85" x14ac:dyDescent="0.2">
      <c r="A16" s="214">
        <f ca="1">TblConstr[[#This Row],[Land]]</f>
        <v>110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0.73048327137546465</v>
      </c>
      <c r="K16" s="283">
        <f>TblRezone[[#This Row],[Hour]]</f>
        <v>13</v>
      </c>
      <c r="L16" s="284">
        <f ca="1">TblImps[[#This Row],[Real time]]</f>
        <v>46102.249999999971</v>
      </c>
      <c r="M16" s="61">
        <f>IF(ISERROR(TblImps[[#This Row],[algorithm]]),0,TblImps[[#This Row],[algorithm]]*1)</f>
        <v>0</v>
      </c>
      <c r="N16" s="94">
        <f ca="1">TblImps[[#This Row],[Land]]</f>
        <v>110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57">
        <f ca="1">IF(OFFSET(TblMagic[[#This Row],[Active Alchemists Flame]],-1,0)&gt;0,TblConstr[[#This Row],[Tot Alc]]*alchemist_flame_invest,0)</f>
        <v>0</v>
      </c>
      <c r="BL16" s="142"/>
      <c r="BM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6" s="142"/>
      <c r="BR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6" s="142"/>
      <c r="BW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6" s="61">
        <f>TblImps[[#This Row],[Login]]</f>
        <v>0</v>
      </c>
      <c r="BY16" s="137"/>
      <c r="BZ16" s="293">
        <f ca="1">OFFSET(TblImps[[#This Row],[Real time]],-1,0)+1/24</f>
        <v>46102.249999999971</v>
      </c>
      <c r="CA16" s="294">
        <f ca="1">OFFSET(TblImps[[#This Row],[Servertime]],-1,0)+1/24</f>
        <v>46102.499999999971</v>
      </c>
      <c r="CB16" s="57"/>
      <c r="CC16" s="292"/>
      <c r="CD16" s="292"/>
    </row>
    <row r="17" spans="1:85" hidden="1" x14ac:dyDescent="0.2">
      <c r="A17" s="214">
        <f ca="1">TblConstr[[#This Row],[Land]]</f>
        <v>110</v>
      </c>
      <c r="B17" s="142"/>
      <c r="C17" s="94">
        <f ca="1">TblProd[[#This Row],[Platinum]]</f>
        <v>68422</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0.74628252788104088</v>
      </c>
      <c r="K17" s="283">
        <f>TblRezone[[#This Row],[Hour]]</f>
        <v>14</v>
      </c>
      <c r="L17" s="284">
        <f ca="1">TblImps[[#This Row],[Real time]]</f>
        <v>46102.291666666635</v>
      </c>
      <c r="M17" s="61">
        <f>IF(ISERROR(TblImps[[#This Row],[algorithm]]),0,TblImps[[#This Row],[algorithm]]*1)</f>
        <v>0</v>
      </c>
      <c r="N17" s="94">
        <f ca="1">TblImps[[#This Row],[Land]]</f>
        <v>110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57">
        <f ca="1">IF(OFFSET(TblMagic[[#This Row],[Active Alchemists Flame]],-1,0)&gt;0,TblConstr[[#This Row],[Tot Alc]]*alchemist_flame_invest,0)</f>
        <v>0</v>
      </c>
      <c r="BL17" s="142"/>
      <c r="BM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7" s="142"/>
      <c r="BR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7" s="142"/>
      <c r="BW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7" s="61">
        <f>TblImps[[#This Row],[Login]]</f>
        <v>0</v>
      </c>
      <c r="BY17" s="137"/>
      <c r="BZ17" s="293">
        <f ca="1">OFFSET(TblImps[[#This Row],[Real time]],-1,0)+1/24</f>
        <v>46102.291666666635</v>
      </c>
      <c r="CA17" s="294">
        <f ca="1">OFFSET(TblImps[[#This Row],[Servertime]],-1,0)+1/24</f>
        <v>46102.541666666635</v>
      </c>
      <c r="CB17" s="57"/>
      <c r="CC17" s="292"/>
      <c r="CD17" s="292"/>
      <c r="CE17" s="159"/>
    </row>
    <row r="18" spans="1:85" hidden="1" x14ac:dyDescent="0.2">
      <c r="A18" s="214">
        <f ca="1">TblConstr[[#This Row],[Land]]</f>
        <v>110</v>
      </c>
      <c r="B18" s="142"/>
      <c r="C18" s="94">
        <f ca="1">TblProd[[#This Row],[Platinum]]</f>
        <v>69998</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0.76208178438661711</v>
      </c>
      <c r="K18" s="283">
        <f>TblRezone[[#This Row],[Hour]]</f>
        <v>15</v>
      </c>
      <c r="L18" s="284">
        <f ca="1">TblImps[[#This Row],[Real time]]</f>
        <v>46102.333333333299</v>
      </c>
      <c r="M18" s="61">
        <f>IF(ISERROR(TblImps[[#This Row],[algorithm]]),0,TblImps[[#This Row],[algorithm]]*1)</f>
        <v>0</v>
      </c>
      <c r="N18" s="94">
        <f ca="1">TblImps[[#This Row],[Land]]</f>
        <v>110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57">
        <f ca="1">IF(OFFSET(TblMagic[[#This Row],[Active Alchemists Flame]],-1,0)&gt;0,TblConstr[[#This Row],[Tot Alc]]*alchemist_flame_invest,0)</f>
        <v>0</v>
      </c>
      <c r="BL18" s="142"/>
      <c r="BM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8" s="142"/>
      <c r="BR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8" s="142"/>
      <c r="BW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8" s="61">
        <f>TblImps[[#This Row],[Login]]</f>
        <v>0</v>
      </c>
      <c r="BY18" s="137"/>
      <c r="BZ18" s="293">
        <f ca="1">OFFSET(TblImps[[#This Row],[Real time]],-1,0)+1/24</f>
        <v>46102.333333333299</v>
      </c>
      <c r="CA18" s="294">
        <f ca="1">OFFSET(TblImps[[#This Row],[Servertime]],-1,0)+1/24</f>
        <v>46102.583333333299</v>
      </c>
      <c r="CB18" s="297"/>
      <c r="CC18" s="292"/>
      <c r="CD18" s="292"/>
      <c r="CG18" s="295"/>
    </row>
    <row r="19" spans="1:85" hidden="1" x14ac:dyDescent="0.2">
      <c r="A19" s="214">
        <f ca="1">TblConstr[[#This Row],[Land]]</f>
        <v>110</v>
      </c>
      <c r="B19" s="142"/>
      <c r="C19" s="94">
        <f ca="1">TblProd[[#This Row],[Platinum]]</f>
        <v>71604</v>
      </c>
      <c r="D19" s="94">
        <f ca="1">TblProd[[#This Row],[Lumber]]</f>
        <v>26894</v>
      </c>
      <c r="E19" s="94">
        <f ca="1">TblProd[[#This Row],[Ore]]</f>
        <v>0</v>
      </c>
      <c r="F19" s="94">
        <f ca="1">TblProd[[#This Row],[Gems]]</f>
        <v>0</v>
      </c>
      <c r="G19" s="154"/>
      <c r="H19" s="94">
        <f ca="1">TblMili[[#This Row],[Draftees]]</f>
        <v>231</v>
      </c>
      <c r="I19" s="180">
        <f ca="1">TblPop[[#This Row],[Employment]]</f>
        <v>1</v>
      </c>
      <c r="J19" s="180">
        <f ca="1">TblPop[[#This Row],[Total]]/TblPop[[#This Row],[Net max]]</f>
        <v>0.77881040892193309</v>
      </c>
      <c r="K19" s="283">
        <f>TblRezone[[#This Row],[Hour]]</f>
        <v>16</v>
      </c>
      <c r="L19" s="284">
        <f ca="1">TblImps[[#This Row],[Real time]]</f>
        <v>46102.374999999964</v>
      </c>
      <c r="M19" s="61">
        <f>IF(ISERROR(TblImps[[#This Row],[algorithm]]),0,TblImps[[#This Row],[algorithm]]*1)</f>
        <v>0</v>
      </c>
      <c r="N19" s="94">
        <f ca="1">TblImps[[#This Row],[Land]]</f>
        <v>110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57">
        <f ca="1">IF(OFFSET(TblMagic[[#This Row],[Active Alchemists Flame]],-1,0)&gt;0,TblConstr[[#This Row],[Tot Alc]]*alchemist_flame_invest,0)</f>
        <v>0</v>
      </c>
      <c r="BL19" s="142"/>
      <c r="BM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9" s="142"/>
      <c r="BR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9" s="142"/>
      <c r="BW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9" s="61">
        <f>TblImps[[#This Row],[Login]]</f>
        <v>0</v>
      </c>
      <c r="BY19" s="137"/>
      <c r="BZ19" s="293">
        <f ca="1">OFFSET(TblImps[[#This Row],[Real time]],-1,0)+1/24</f>
        <v>46102.374999999964</v>
      </c>
      <c r="CA19" s="294">
        <f ca="1">OFFSET(TblImps[[#This Row],[Servertime]],-1,0)+1/24</f>
        <v>46102.624999999964</v>
      </c>
      <c r="CB19" s="57"/>
      <c r="CC19" s="292"/>
      <c r="CD19" s="292"/>
      <c r="CG19" s="296"/>
    </row>
    <row r="20" spans="1:85" hidden="1" x14ac:dyDescent="0.2">
      <c r="A20" s="214">
        <f ca="1">TblConstr[[#This Row],[Land]]</f>
        <v>110</v>
      </c>
      <c r="B20" s="142"/>
      <c r="C20" s="94">
        <f ca="1">TblProd[[#This Row],[Platinum]]</f>
        <v>73242</v>
      </c>
      <c r="D20" s="94">
        <f ca="1">TblProd[[#This Row],[Lumber]]</f>
        <v>27625</v>
      </c>
      <c r="E20" s="94">
        <f ca="1">TblProd[[#This Row],[Ore]]</f>
        <v>0</v>
      </c>
      <c r="F20" s="94">
        <f ca="1">TblProd[[#This Row],[Gems]]</f>
        <v>0</v>
      </c>
      <c r="G20" s="154"/>
      <c r="H20" s="94">
        <f ca="1">TblMili[[#This Row],[Draftees]]</f>
        <v>237</v>
      </c>
      <c r="I20" s="180">
        <f ca="1">TblPop[[#This Row],[Employment]]</f>
        <v>1</v>
      </c>
      <c r="J20" s="180">
        <f ca="1">TblPop[[#This Row],[Total]]/TblPop[[#This Row],[Net max]]</f>
        <v>0.79553903345724908</v>
      </c>
      <c r="K20" s="283">
        <f>TblRezone[[#This Row],[Hour]]</f>
        <v>17</v>
      </c>
      <c r="L20" s="284">
        <f ca="1">TblImps[[#This Row],[Real time]]</f>
        <v>46102.416666666628</v>
      </c>
      <c r="M20" s="61">
        <f>IF(ISERROR(TblImps[[#This Row],[algorithm]]),0,TblImps[[#This Row],[algorithm]]*1)</f>
        <v>0</v>
      </c>
      <c r="N20" s="94">
        <f ca="1">TblImps[[#This Row],[Land]]</f>
        <v>110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57">
        <f ca="1">IF(OFFSET(TblMagic[[#This Row],[Active Alchemists Flame]],-1,0)&gt;0,TblConstr[[#This Row],[Tot Alc]]*alchemist_flame_invest,0)</f>
        <v>0</v>
      </c>
      <c r="BL20" s="142"/>
      <c r="BM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0" s="142"/>
      <c r="BR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0" s="142"/>
      <c r="BW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0" s="61">
        <f>TblImps[[#This Row],[Login]]</f>
        <v>0</v>
      </c>
      <c r="BY20" s="137"/>
      <c r="BZ20" s="293">
        <f ca="1">OFFSET(TblImps[[#This Row],[Real time]],-1,0)+1/24</f>
        <v>46102.416666666628</v>
      </c>
      <c r="CA20" s="294">
        <f ca="1">OFFSET(TblImps[[#This Row],[Servertime]],-1,0)+1/24</f>
        <v>46102.666666666628</v>
      </c>
      <c r="CB20" s="57"/>
      <c r="CC20" s="292"/>
      <c r="CD20" s="292"/>
      <c r="CG20" s="295"/>
    </row>
    <row r="21" spans="1:85" hidden="1" x14ac:dyDescent="0.2">
      <c r="A21" s="214">
        <f ca="1">TblConstr[[#This Row],[Land]]</f>
        <v>110</v>
      </c>
      <c r="B21" s="142"/>
      <c r="C21" s="94">
        <f ca="1">TblProd[[#This Row],[Platinum]]</f>
        <v>74913</v>
      </c>
      <c r="D21" s="94">
        <f ca="1">TblProd[[#This Row],[Lumber]]</f>
        <v>28349</v>
      </c>
      <c r="E21" s="94">
        <f ca="1">TblProd[[#This Row],[Ore]]</f>
        <v>0</v>
      </c>
      <c r="F21" s="94">
        <f ca="1">TblProd[[#This Row],[Gems]]</f>
        <v>0</v>
      </c>
      <c r="G21" s="154"/>
      <c r="H21" s="94">
        <f ca="1">TblMili[[#This Row],[Draftees]]</f>
        <v>243</v>
      </c>
      <c r="I21" s="180">
        <f ca="1">TblPop[[#This Row],[Employment]]</f>
        <v>1</v>
      </c>
      <c r="J21" s="180">
        <f ca="1">TblPop[[#This Row],[Total]]/TblPop[[#This Row],[Net max]]</f>
        <v>0.81226765799256506</v>
      </c>
      <c r="K21" s="283">
        <f>TblRezone[[#This Row],[Hour]]</f>
        <v>18</v>
      </c>
      <c r="L21" s="284">
        <f ca="1">TblImps[[#This Row],[Real time]]</f>
        <v>46102.458333333292</v>
      </c>
      <c r="M21" s="61">
        <f>IF(ISERROR(TblImps[[#This Row],[algorithm]]),0,TblImps[[#This Row],[algorithm]]*1)</f>
        <v>0</v>
      </c>
      <c r="N21" s="94">
        <f ca="1">TblImps[[#This Row],[Land]]</f>
        <v>110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57">
        <f ca="1">IF(OFFSET(TblMagic[[#This Row],[Active Alchemists Flame]],-1,0)&gt;0,TblConstr[[#This Row],[Tot Alc]]*alchemist_flame_invest,0)</f>
        <v>0</v>
      </c>
      <c r="BL21" s="142"/>
      <c r="BM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1" s="142"/>
      <c r="BR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1" s="142"/>
      <c r="BW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1" s="61">
        <f>TblImps[[#This Row],[Login]]</f>
        <v>0</v>
      </c>
      <c r="BY21" s="137"/>
      <c r="BZ21" s="293">
        <f ca="1">OFFSET(TblImps[[#This Row],[Real time]],-1,0)+1/24</f>
        <v>46102.458333333292</v>
      </c>
      <c r="CA21" s="294">
        <f ca="1">OFFSET(TblImps[[#This Row],[Servertime]],-1,0)+1/24</f>
        <v>46102.708333333292</v>
      </c>
      <c r="CB21" s="57"/>
      <c r="CC21" s="292"/>
      <c r="CD21" s="292"/>
      <c r="CG21" s="295"/>
    </row>
    <row r="22" spans="1:85" hidden="1" x14ac:dyDescent="0.2">
      <c r="A22" s="214">
        <f ca="1">TblConstr[[#This Row],[Land]]</f>
        <v>110</v>
      </c>
      <c r="B22" s="142"/>
      <c r="C22" s="94">
        <f ca="1">TblProd[[#This Row],[Platinum]]</f>
        <v>76616</v>
      </c>
      <c r="D22" s="94">
        <f ca="1">TblProd[[#This Row],[Lumber]]</f>
        <v>29066</v>
      </c>
      <c r="E22" s="94">
        <f ca="1">TblProd[[#This Row],[Ore]]</f>
        <v>0</v>
      </c>
      <c r="F22" s="94">
        <f ca="1">TblProd[[#This Row],[Gems]]</f>
        <v>0</v>
      </c>
      <c r="G22" s="154"/>
      <c r="H22" s="94">
        <f ca="1">TblMili[[#This Row],[Draftees]]</f>
        <v>249</v>
      </c>
      <c r="I22" s="180">
        <f ca="1">TblPop[[#This Row],[Employment]]</f>
        <v>1</v>
      </c>
      <c r="J22" s="180">
        <f ca="1">TblPop[[#This Row],[Total]]/TblPop[[#This Row],[Net max]]</f>
        <v>0.8299256505576208</v>
      </c>
      <c r="K22" s="283">
        <f>TblRezone[[#This Row],[Hour]]</f>
        <v>19</v>
      </c>
      <c r="L22" s="284">
        <f ca="1">TblImps[[#This Row],[Real time]]</f>
        <v>46102.499999999956</v>
      </c>
      <c r="M22" s="61">
        <f>IF(ISERROR(TblImps[[#This Row],[algorithm]]),0,TblImps[[#This Row],[algorithm]]*1)</f>
        <v>0</v>
      </c>
      <c r="N22" s="94">
        <f ca="1">TblImps[[#This Row],[Land]]</f>
        <v>110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57">
        <f ca="1">IF(OFFSET(TblMagic[[#This Row],[Active Alchemists Flame]],-1,0)&gt;0,TblConstr[[#This Row],[Tot Alc]]*alchemist_flame_invest,0)</f>
        <v>0</v>
      </c>
      <c r="BL22" s="142"/>
      <c r="BM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2" s="142"/>
      <c r="BR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2" s="142"/>
      <c r="BW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2" s="61">
        <f>TblImps[[#This Row],[Login]]</f>
        <v>0</v>
      </c>
      <c r="BY22" s="137"/>
      <c r="BZ22" s="293">
        <f ca="1">OFFSET(TblImps[[#This Row],[Real time]],-1,0)+1/24</f>
        <v>46102.499999999956</v>
      </c>
      <c r="CA22" s="294">
        <f ca="1">OFFSET(TblImps[[#This Row],[Servertime]],-1,0)+1/24</f>
        <v>46102.749999999956</v>
      </c>
      <c r="CB22" s="57"/>
      <c r="CC22" s="292"/>
      <c r="CD22" s="292"/>
    </row>
    <row r="23" spans="1:85" hidden="1" x14ac:dyDescent="0.2">
      <c r="A23" s="214">
        <f ca="1">TblConstr[[#This Row],[Land]]</f>
        <v>110</v>
      </c>
      <c r="B23" s="142"/>
      <c r="C23" s="94">
        <f ca="1">TblProd[[#This Row],[Platinum]]</f>
        <v>78354</v>
      </c>
      <c r="D23" s="94">
        <f ca="1">TblProd[[#This Row],[Lumber]]</f>
        <v>29775</v>
      </c>
      <c r="E23" s="94">
        <f ca="1">TblProd[[#This Row],[Ore]]</f>
        <v>0</v>
      </c>
      <c r="F23" s="94">
        <f ca="1">TblProd[[#This Row],[Gems]]</f>
        <v>0</v>
      </c>
      <c r="G23" s="154"/>
      <c r="H23" s="94">
        <f ca="1">TblMili[[#This Row],[Draftees]]</f>
        <v>255</v>
      </c>
      <c r="I23" s="180">
        <f ca="1">TblPop[[#This Row],[Employment]]</f>
        <v>1</v>
      </c>
      <c r="J23" s="180">
        <f ca="1">TblPop[[#This Row],[Total]]/TblPop[[#This Row],[Net max]]</f>
        <v>0.84758364312267653</v>
      </c>
      <c r="K23" s="283">
        <f>TblRezone[[#This Row],[Hour]]</f>
        <v>20</v>
      </c>
      <c r="L23" s="284">
        <f ca="1">TblImps[[#This Row],[Real time]]</f>
        <v>46102.541666666621</v>
      </c>
      <c r="M23" s="61">
        <f>IF(ISERROR(TblImps[[#This Row],[algorithm]]),0,TblImps[[#This Row],[algorithm]]*1)</f>
        <v>0</v>
      </c>
      <c r="N23" s="94">
        <f ca="1">TblImps[[#This Row],[Land]]</f>
        <v>110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57">
        <f ca="1">IF(OFFSET(TblMagic[[#This Row],[Active Alchemists Flame]],-1,0)&gt;0,TblConstr[[#This Row],[Tot Alc]]*alchemist_flame_invest,0)</f>
        <v>0</v>
      </c>
      <c r="BL23" s="142"/>
      <c r="BM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3" s="142"/>
      <c r="BR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3" s="142"/>
      <c r="BW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3" s="61">
        <f>TblImps[[#This Row],[Login]]</f>
        <v>0</v>
      </c>
      <c r="BY23" s="137"/>
      <c r="BZ23" s="293">
        <f ca="1">OFFSET(TblImps[[#This Row],[Real time]],-1,0)+1/24</f>
        <v>46102.541666666621</v>
      </c>
      <c r="CA23" s="294">
        <f ca="1">OFFSET(TblImps[[#This Row],[Servertime]],-1,0)+1/24</f>
        <v>46102.791666666621</v>
      </c>
      <c r="CB23" s="57"/>
      <c r="CC23" s="292"/>
      <c r="CD23" s="292"/>
    </row>
    <row r="24" spans="1:85" hidden="1" x14ac:dyDescent="0.2">
      <c r="A24" s="214">
        <f ca="1">TblConstr[[#This Row],[Land]]</f>
        <v>110</v>
      </c>
      <c r="B24" s="142"/>
      <c r="C24" s="94">
        <f ca="1">TblProd[[#This Row],[Platinum]]</f>
        <v>80127</v>
      </c>
      <c r="D24" s="94">
        <f ca="1">TblProd[[#This Row],[Lumber]]</f>
        <v>30477</v>
      </c>
      <c r="E24" s="94">
        <f ca="1">TblProd[[#This Row],[Ore]]</f>
        <v>0</v>
      </c>
      <c r="F24" s="94">
        <f ca="1">TblProd[[#This Row],[Gems]]</f>
        <v>0</v>
      </c>
      <c r="G24" s="154"/>
      <c r="H24" s="94">
        <f ca="1">TblMili[[#This Row],[Draftees]]</f>
        <v>262</v>
      </c>
      <c r="I24" s="180">
        <f ca="1">TblPop[[#This Row],[Employment]]</f>
        <v>1</v>
      </c>
      <c r="J24" s="180">
        <f ca="1">TblPop[[#This Row],[Total]]/TblPop[[#This Row],[Net max]]</f>
        <v>0.86617100371747213</v>
      </c>
      <c r="K24" s="283">
        <f>TblRezone[[#This Row],[Hour]]</f>
        <v>21</v>
      </c>
      <c r="L24" s="284">
        <f ca="1">TblImps[[#This Row],[Real time]]</f>
        <v>46102.583333333285</v>
      </c>
      <c r="M24" s="61">
        <f>IF(ISERROR(TblImps[[#This Row],[algorithm]]),0,TblImps[[#This Row],[algorithm]]*1)</f>
        <v>0</v>
      </c>
      <c r="N24" s="94">
        <f ca="1">TblImps[[#This Row],[Land]]</f>
        <v>110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57">
        <f ca="1">IF(OFFSET(TblMagic[[#This Row],[Active Alchemists Flame]],-1,0)&gt;0,TblConstr[[#This Row],[Tot Alc]]*alchemist_flame_invest,0)</f>
        <v>0</v>
      </c>
      <c r="BL24" s="142"/>
      <c r="BM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4" s="142"/>
      <c r="BR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4" s="142"/>
      <c r="BW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4" s="61">
        <f>TblImps[[#This Row],[Login]]</f>
        <v>0</v>
      </c>
      <c r="BY24" s="137"/>
      <c r="BZ24" s="293">
        <f ca="1">OFFSET(TblImps[[#This Row],[Real time]],-1,0)+1/24</f>
        <v>46102.583333333285</v>
      </c>
      <c r="CA24" s="294">
        <f ca="1">OFFSET(TblImps[[#This Row],[Servertime]],-1,0)+1/24</f>
        <v>46102.833333333285</v>
      </c>
      <c r="CB24" s="57"/>
      <c r="CC24" s="292"/>
      <c r="CD24" s="292"/>
    </row>
    <row r="25" spans="1:85" hidden="1" x14ac:dyDescent="0.2">
      <c r="A25" s="214">
        <f ca="1">TblConstr[[#This Row],[Land]]</f>
        <v>110</v>
      </c>
      <c r="B25" s="142"/>
      <c r="C25" s="94">
        <f ca="1">TblProd[[#This Row],[Platinum]]</f>
        <v>81936</v>
      </c>
      <c r="D25" s="94">
        <f ca="1">TblProd[[#This Row],[Lumber]]</f>
        <v>31172</v>
      </c>
      <c r="E25" s="94">
        <f ca="1">TblProd[[#This Row],[Ore]]</f>
        <v>0</v>
      </c>
      <c r="F25" s="94">
        <f ca="1">TblProd[[#This Row],[Gems]]</f>
        <v>0</v>
      </c>
      <c r="G25" s="154"/>
      <c r="H25" s="94">
        <f ca="1">TblMili[[#This Row],[Draftees]]</f>
        <v>269</v>
      </c>
      <c r="I25" s="180">
        <f ca="1">TblPop[[#This Row],[Employment]]</f>
        <v>1</v>
      </c>
      <c r="J25" s="180">
        <f ca="1">TblPop[[#This Row],[Total]]/TblPop[[#This Row],[Net max]]</f>
        <v>0.88475836431226762</v>
      </c>
      <c r="K25" s="283">
        <f>TblRezone[[#This Row],[Hour]]</f>
        <v>22</v>
      </c>
      <c r="L25" s="284">
        <f ca="1">TblImps[[#This Row],[Real time]]</f>
        <v>46102.624999999949</v>
      </c>
      <c r="M25" s="61">
        <f>IF(ISERROR(TblImps[[#This Row],[algorithm]]),0,TblImps[[#This Row],[algorithm]]*1)</f>
        <v>0</v>
      </c>
      <c r="N25" s="94">
        <f ca="1">TblImps[[#This Row],[Land]]</f>
        <v>110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57">
        <f ca="1">IF(OFFSET(TblMagic[[#This Row],[Active Alchemists Flame]],-1,0)&gt;0,TblConstr[[#This Row],[Tot Alc]]*alchemist_flame_invest,0)</f>
        <v>0</v>
      </c>
      <c r="BL25" s="142"/>
      <c r="BM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5" s="142"/>
      <c r="BR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5" s="142"/>
      <c r="BW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5" s="61">
        <f>TblImps[[#This Row],[Login]]</f>
        <v>0</v>
      </c>
      <c r="BY25" s="137"/>
      <c r="BZ25" s="293">
        <f ca="1">OFFSET(TblImps[[#This Row],[Real time]],-1,0)+1/24</f>
        <v>46102.624999999949</v>
      </c>
      <c r="CA25" s="294">
        <f ca="1">OFFSET(TblImps[[#This Row],[Servertime]],-1,0)+1/24</f>
        <v>46102.874999999949</v>
      </c>
      <c r="CB25" s="57"/>
      <c r="CC25" s="292"/>
      <c r="CD25" s="292"/>
    </row>
    <row r="26" spans="1:85" hidden="1" x14ac:dyDescent="0.2">
      <c r="A26" s="214">
        <f ca="1">TblConstr[[#This Row],[Land]]</f>
        <v>110</v>
      </c>
      <c r="B26" s="142"/>
      <c r="C26" s="94">
        <f ca="1">TblProd[[#This Row],[Platinum]]</f>
        <v>83780</v>
      </c>
      <c r="D26" s="94">
        <f ca="1">TblProd[[#This Row],[Lumber]]</f>
        <v>31860</v>
      </c>
      <c r="E26" s="94">
        <f ca="1">TblProd[[#This Row],[Ore]]</f>
        <v>0</v>
      </c>
      <c r="F26" s="94">
        <f ca="1">TblProd[[#This Row],[Gems]]</f>
        <v>0</v>
      </c>
      <c r="G26" s="154"/>
      <c r="H26" s="94">
        <f ca="1">TblMili[[#This Row],[Draftees]]</f>
        <v>276</v>
      </c>
      <c r="I26" s="180">
        <f ca="1">TblPop[[#This Row],[Employment]]</f>
        <v>1</v>
      </c>
      <c r="J26" s="180">
        <f ca="1">TblPop[[#This Row],[Total]]/TblPop[[#This Row],[Net max]]</f>
        <v>0.90334572490706322</v>
      </c>
      <c r="K26" s="283">
        <f>TblRezone[[#This Row],[Hour]]</f>
        <v>23</v>
      </c>
      <c r="L26" s="284">
        <f ca="1">TblImps[[#This Row],[Real time]]</f>
        <v>46102.666666666613</v>
      </c>
      <c r="M26" s="61">
        <f>IF(ISERROR(TblImps[[#This Row],[algorithm]]),0,TblImps[[#This Row],[algorithm]]*1)</f>
        <v>0</v>
      </c>
      <c r="N26" s="94">
        <f ca="1">TblImps[[#This Row],[Land]]</f>
        <v>110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57">
        <f ca="1">IF(OFFSET(TblMagic[[#This Row],[Active Alchemists Flame]],-1,0)&gt;0,TblConstr[[#This Row],[Tot Alc]]*alchemist_flame_invest,0)</f>
        <v>0</v>
      </c>
      <c r="BL26" s="142"/>
      <c r="BM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6" s="142"/>
      <c r="BR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6" s="142"/>
      <c r="BW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6" s="61">
        <f>TblImps[[#This Row],[Login]]</f>
        <v>0</v>
      </c>
      <c r="BY26" s="137"/>
      <c r="BZ26" s="293">
        <f ca="1">OFFSET(TblImps[[#This Row],[Real time]],-1,0)+1/24</f>
        <v>46102.666666666613</v>
      </c>
      <c r="CA26" s="294">
        <f ca="1">OFFSET(TblImps[[#This Row],[Servertime]],-1,0)+1/24</f>
        <v>46102.916666666613</v>
      </c>
      <c r="CB26" s="57"/>
      <c r="CC26" s="292"/>
      <c r="CD26" s="292"/>
    </row>
    <row r="27" spans="1:85" hidden="1" x14ac:dyDescent="0.2">
      <c r="A27" s="214">
        <f ca="1">TblConstr[[#This Row],[Land]]</f>
        <v>110</v>
      </c>
      <c r="B27" s="142"/>
      <c r="C27" s="94">
        <f ca="1">TblProd[[#This Row],[Platinum]]</f>
        <v>85659</v>
      </c>
      <c r="D27" s="94">
        <f ca="1">TblProd[[#This Row],[Lumber]]</f>
        <v>32541</v>
      </c>
      <c r="E27" s="94">
        <f ca="1">TblProd[[#This Row],[Ore]]</f>
        <v>0</v>
      </c>
      <c r="F27" s="94">
        <f ca="1">TblProd[[#This Row],[Gems]]</f>
        <v>0</v>
      </c>
      <c r="G27" s="154"/>
      <c r="H27" s="94">
        <f ca="1">TblMili[[#This Row],[Draftees]]</f>
        <v>283</v>
      </c>
      <c r="I27" s="180">
        <f ca="1">TblPop[[#This Row],[Employment]]</f>
        <v>1</v>
      </c>
      <c r="J27" s="180">
        <f ca="1">TblPop[[#This Row],[Total]]/TblPop[[#This Row],[Net max]]</f>
        <v>0.92286245353159846</v>
      </c>
      <c r="K27" s="283">
        <f>TblRezone[[#This Row],[Hour]]</f>
        <v>24</v>
      </c>
      <c r="L27" s="284">
        <f ca="1">TblImps[[#This Row],[Real time]]</f>
        <v>46102.708333333278</v>
      </c>
      <c r="M27" s="61">
        <f>IF(ISERROR(TblImps[[#This Row],[algorithm]]),0,TblImps[[#This Row],[algorithm]]*1)</f>
        <v>0</v>
      </c>
      <c r="N27" s="94">
        <f ca="1">TblImps[[#This Row],[Land]]</f>
        <v>110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57">
        <f ca="1">IF(OFFSET(TblMagic[[#This Row],[Active Alchemists Flame]],-1,0)&gt;0,TblConstr[[#This Row],[Tot Alc]]*alchemist_flame_invest,0)</f>
        <v>0</v>
      </c>
      <c r="BL27" s="142"/>
      <c r="BM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7" s="142"/>
      <c r="BR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7" s="142"/>
      <c r="BW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7" s="61">
        <f>TblImps[[#This Row],[Login]]</f>
        <v>0</v>
      </c>
      <c r="BY27" s="137"/>
      <c r="BZ27" s="293">
        <f ca="1">OFFSET(TblImps[[#This Row],[Real time]],-1,0)+1/24</f>
        <v>46102.708333333278</v>
      </c>
      <c r="CA27" s="294">
        <f ca="1">OFFSET(TblImps[[#This Row],[Servertime]],-1,0)+1/24</f>
        <v>46102.958333333278</v>
      </c>
      <c r="CB27" s="57"/>
      <c r="CC27" s="292"/>
      <c r="CD27" s="292"/>
    </row>
    <row r="28" spans="1:85" x14ac:dyDescent="0.2">
      <c r="A28" s="214">
        <f ca="1">TblConstr[[#This Row],[Land]]</f>
        <v>110</v>
      </c>
      <c r="B28" s="142"/>
      <c r="C28" s="94">
        <f ca="1">TblProd[[#This Row],[Platinum]]</f>
        <v>87576</v>
      </c>
      <c r="D28" s="94">
        <f ca="1">TblProd[[#This Row],[Lumber]]</f>
        <v>33216</v>
      </c>
      <c r="E28" s="94">
        <f ca="1">TblProd[[#This Row],[Ore]]</f>
        <v>0</v>
      </c>
      <c r="F28" s="94">
        <f ca="1">TblProd[[#This Row],[Gems]]</f>
        <v>0</v>
      </c>
      <c r="G28" s="154"/>
      <c r="H28" s="94">
        <f ca="1">TblMili[[#This Row],[Draftees]]</f>
        <v>290</v>
      </c>
      <c r="I28" s="180">
        <f ca="1">TblPop[[#This Row],[Employment]]</f>
        <v>1</v>
      </c>
      <c r="J28" s="180">
        <f ca="1">TblPop[[#This Row],[Total]]/TblPop[[#This Row],[Net max]]</f>
        <v>0.94237918215613381</v>
      </c>
      <c r="K28" s="283">
        <f>TblRezone[[#This Row],[Hour]]</f>
        <v>25</v>
      </c>
      <c r="L28" s="284">
        <f ca="1">TblImps[[#This Row],[Real time]]</f>
        <v>46102.749999999942</v>
      </c>
      <c r="M28" s="61">
        <f>IF(ISERROR(TblImps[[#This Row],[algorithm]]),0,TblImps[[#This Row],[algorithm]]*1)</f>
        <v>0</v>
      </c>
      <c r="N28" s="94">
        <f ca="1">TblImps[[#This Row],[Land]]</f>
        <v>110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57">
        <f ca="1">IF(OFFSET(TblMagic[[#This Row],[Active Alchemists Flame]],-1,0)&gt;0,TblConstr[[#This Row],[Tot Alc]]*alchemist_flame_invest,0)</f>
        <v>0</v>
      </c>
      <c r="BL28" s="142"/>
      <c r="BM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8" s="142"/>
      <c r="BR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8" s="142"/>
      <c r="BW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8" s="61">
        <f>TblImps[[#This Row],[Login]]</f>
        <v>0</v>
      </c>
      <c r="BY28" s="137"/>
      <c r="BZ28" s="293">
        <f ca="1">OFFSET(TblImps[[#This Row],[Real time]],-1,0)+1/24</f>
        <v>46102.749999999942</v>
      </c>
      <c r="CA28" s="294">
        <f ca="1">OFFSET(TblImps[[#This Row],[Servertime]],-1,0)+1/24</f>
        <v>46102.999999999942</v>
      </c>
      <c r="CB28" s="57"/>
      <c r="CC28" s="292"/>
      <c r="CD28" s="292"/>
    </row>
    <row r="29" spans="1:85" x14ac:dyDescent="0.2">
      <c r="A29" s="214">
        <f ca="1">TblConstr[[#This Row],[Land]]</f>
        <v>110</v>
      </c>
      <c r="B29" s="142"/>
      <c r="C29" s="94">
        <f ca="1">TblProd[[#This Row],[Platinum]]</f>
        <v>89530</v>
      </c>
      <c r="D29" s="94">
        <f ca="1">TblProd[[#This Row],[Lumber]]</f>
        <v>33884</v>
      </c>
      <c r="E29" s="94">
        <f ca="1">TblProd[[#This Row],[Ore]]</f>
        <v>0</v>
      </c>
      <c r="F29" s="94">
        <f ca="1">TblProd[[#This Row],[Gems]]</f>
        <v>0</v>
      </c>
      <c r="G29" s="154"/>
      <c r="H29" s="94">
        <f ca="1">TblMili[[#This Row],[Draftees]]</f>
        <v>297</v>
      </c>
      <c r="I29" s="180">
        <f ca="1">TblPop[[#This Row],[Employment]]</f>
        <v>1</v>
      </c>
      <c r="J29" s="180">
        <f ca="1">TblPop[[#This Row],[Total]]/TblPop[[#This Row],[Net max]]</f>
        <v>0.96282527881040891</v>
      </c>
      <c r="K29" s="283">
        <f>TblRezone[[#This Row],[Hour]]</f>
        <v>26</v>
      </c>
      <c r="L29" s="284">
        <f ca="1">TblImps[[#This Row],[Real time]]</f>
        <v>46102.791666666606</v>
      </c>
      <c r="M29" s="61">
        <f>IF(ISERROR(TblImps[[#This Row],[algorithm]]),0,TblImps[[#This Row],[algorithm]]*1)</f>
        <v>0</v>
      </c>
      <c r="N29" s="94">
        <f ca="1">TblImps[[#This Row],[Land]]</f>
        <v>110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57">
        <f ca="1">IF(OFFSET(TblMagic[[#This Row],[Active Alchemists Flame]],-1,0)&gt;0,TblConstr[[#This Row],[Tot Alc]]*alchemist_flame_invest,0)</f>
        <v>0</v>
      </c>
      <c r="BL29" s="142"/>
      <c r="BM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9" s="142"/>
      <c r="BR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9" s="142"/>
      <c r="BW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9" s="61">
        <f>TblImps[[#This Row],[Login]]</f>
        <v>0</v>
      </c>
      <c r="BY29" s="137"/>
      <c r="BZ29" s="293">
        <f ca="1">OFFSET(TblImps[[#This Row],[Real time]],-1,0)+1/24</f>
        <v>46102.791666666606</v>
      </c>
      <c r="CA29" s="294">
        <f ca="1">OFFSET(TblImps[[#This Row],[Servertime]],-1,0)+1/24</f>
        <v>46103.041666666606</v>
      </c>
      <c r="CB29" s="57"/>
      <c r="CC29" s="292"/>
      <c r="CD29" s="292"/>
    </row>
    <row r="30" spans="1:85" x14ac:dyDescent="0.2">
      <c r="A30" s="214">
        <f ca="1">TblConstr[[#This Row],[Land]]</f>
        <v>110</v>
      </c>
      <c r="B30" s="142"/>
      <c r="C30" s="94">
        <f ca="1">TblProd[[#This Row],[Platinum]]</f>
        <v>91525</v>
      </c>
      <c r="D30" s="94">
        <f ca="1">TblProd[[#This Row],[Lumber]]</f>
        <v>34545</v>
      </c>
      <c r="E30" s="94">
        <f ca="1">TblProd[[#This Row],[Ore]]</f>
        <v>0</v>
      </c>
      <c r="F30" s="94">
        <f ca="1">TblProd[[#This Row],[Gems]]</f>
        <v>0</v>
      </c>
      <c r="G30" s="154"/>
      <c r="H30" s="94">
        <f ca="1">TblMili[[#This Row],[Draftees]]</f>
        <v>304</v>
      </c>
      <c r="I30" s="180">
        <f ca="1">TblPop[[#This Row],[Employment]]</f>
        <v>1</v>
      </c>
      <c r="J30" s="180">
        <f ca="1">TblPop[[#This Row],[Total]]/TblPop[[#This Row],[Net max]]</f>
        <v>0.98327137546468402</v>
      </c>
      <c r="K30" s="283">
        <f>TblRezone[[#This Row],[Hour]]</f>
        <v>27</v>
      </c>
      <c r="L30" s="284">
        <f ca="1">TblImps[[#This Row],[Real time]]</f>
        <v>46102.83333333327</v>
      </c>
      <c r="M30" s="61">
        <f>IF(ISERROR(TblImps[[#This Row],[algorithm]]),0,TblImps[[#This Row],[algorithm]]*1)</f>
        <v>0</v>
      </c>
      <c r="N30" s="94">
        <f ca="1">TblImps[[#This Row],[Land]]</f>
        <v>110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57">
        <f ca="1">IF(OFFSET(TblMagic[[#This Row],[Active Alchemists Flame]],-1,0)&gt;0,TblConstr[[#This Row],[Tot Alc]]*alchemist_flame_invest,0)</f>
        <v>0</v>
      </c>
      <c r="BL30" s="142"/>
      <c r="BM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0" s="142"/>
      <c r="BR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0" s="142"/>
      <c r="BW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0" s="61">
        <f>TblImps[[#This Row],[Login]]</f>
        <v>0</v>
      </c>
      <c r="BY30" s="137"/>
      <c r="BZ30" s="293">
        <f ca="1">OFFSET(TblImps[[#This Row],[Real time]],-1,0)+1/24</f>
        <v>46102.83333333327</v>
      </c>
      <c r="CA30" s="294">
        <f ca="1">OFFSET(TblImps[[#This Row],[Servertime]],-1,0)+1/24</f>
        <v>46103.08333333327</v>
      </c>
      <c r="CB30" s="57"/>
      <c r="CC30" s="292"/>
      <c r="CD30" s="292"/>
      <c r="CE30" s="45" t="s">
        <v>4</v>
      </c>
    </row>
    <row r="31" spans="1:85" x14ac:dyDescent="0.2">
      <c r="A31" s="214">
        <f ca="1">TblConstr[[#This Row],[Land]]</f>
        <v>110</v>
      </c>
      <c r="B31" s="142"/>
      <c r="C31" s="94">
        <f ca="1">TblProd[[#This Row],[Platinum]]</f>
        <v>93560</v>
      </c>
      <c r="D31" s="94">
        <f ca="1">TblProd[[#This Row],[Lumber]]</f>
        <v>35200</v>
      </c>
      <c r="E31" s="94">
        <f ca="1">TblProd[[#This Row],[Ore]]</f>
        <v>0</v>
      </c>
      <c r="F31" s="94">
        <f ca="1">TblProd[[#This Row],[Gems]]</f>
        <v>0</v>
      </c>
      <c r="G31" s="154"/>
      <c r="H31" s="94">
        <f ca="1">TblMili[[#This Row],[Draftees]]</f>
        <v>312</v>
      </c>
      <c r="I31" s="180">
        <f ca="1">TblPop[[#This Row],[Employment]]</f>
        <v>1</v>
      </c>
      <c r="J31" s="180">
        <f ca="1">TblPop[[#This Row],[Total]]/TblPop[[#This Row],[Net max]]</f>
        <v>1</v>
      </c>
      <c r="K31" s="283">
        <f>TblRezone[[#This Row],[Hour]]</f>
        <v>28</v>
      </c>
      <c r="L31" s="284">
        <f ca="1">TblImps[[#This Row],[Real time]]</f>
        <v>46102.874999999935</v>
      </c>
      <c r="M31" s="61">
        <f>IF(ISERROR(TblImps[[#This Row],[algorithm]]),0,TblImps[[#This Row],[algorithm]]*1)</f>
        <v>0</v>
      </c>
      <c r="N31" s="94">
        <f ca="1">TblImps[[#This Row],[Land]]</f>
        <v>110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57">
        <f ca="1">IF(OFFSET(TblMagic[[#This Row],[Active Alchemists Flame]],-1,0)&gt;0,TblConstr[[#This Row],[Tot Alc]]*alchemist_flame_invest,0)</f>
        <v>0</v>
      </c>
      <c r="BL31" s="142"/>
      <c r="BM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1" s="142"/>
      <c r="BR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1" s="142"/>
      <c r="BW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1" s="61">
        <f>TblImps[[#This Row],[Login]]</f>
        <v>0</v>
      </c>
      <c r="BY31" s="137"/>
      <c r="BZ31" s="293">
        <f ca="1">OFFSET(TblImps[[#This Row],[Real time]],-1,0)+1/24</f>
        <v>46102.874999999935</v>
      </c>
      <c r="CA31" s="294">
        <f ca="1">OFFSET(TblImps[[#This Row],[Servertime]],-1,0)+1/24</f>
        <v>46103.124999999935</v>
      </c>
      <c r="CB31" s="57"/>
      <c r="CC31" s="292"/>
      <c r="CD31" s="292"/>
      <c r="CE31" s="45" t="s">
        <v>7</v>
      </c>
    </row>
    <row r="32" spans="1:85" x14ac:dyDescent="0.2">
      <c r="A32" s="214">
        <f ca="1">TblConstr[[#This Row],[Land]]</f>
        <v>110</v>
      </c>
      <c r="B32" s="142"/>
      <c r="C32" s="94">
        <f ca="1">TblProd[[#This Row],[Platinum]]</f>
        <v>95622</v>
      </c>
      <c r="D32" s="94">
        <f ca="1">TblProd[[#This Row],[Lumber]]</f>
        <v>35848</v>
      </c>
      <c r="E32" s="94">
        <f ca="1">TblProd[[#This Row],[Ore]]</f>
        <v>0</v>
      </c>
      <c r="F32" s="94">
        <f ca="1">TblProd[[#This Row],[Gems]]</f>
        <v>0</v>
      </c>
      <c r="G32" s="154"/>
      <c r="H32" s="94">
        <f ca="1">TblMili[[#This Row],[Draftees]]</f>
        <v>320</v>
      </c>
      <c r="I32" s="180">
        <f ca="1">TblPop[[#This Row],[Employment]]</f>
        <v>1</v>
      </c>
      <c r="J32" s="180">
        <f ca="1">TblPop[[#This Row],[Total]]/TblPop[[#This Row],[Net max]]</f>
        <v>1</v>
      </c>
      <c r="K32" s="283">
        <f>TblRezone[[#This Row],[Hour]]</f>
        <v>29</v>
      </c>
      <c r="L32" s="284">
        <f ca="1">TblImps[[#This Row],[Real time]]</f>
        <v>46102.916666666599</v>
      </c>
      <c r="M32" s="61">
        <f>IF(ISERROR(TblImps[[#This Row],[algorithm]]),0,TblImps[[#This Row],[algorithm]]*1)</f>
        <v>0</v>
      </c>
      <c r="N32" s="94">
        <f ca="1">TblImps[[#This Row],[Land]]</f>
        <v>110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57">
        <f ca="1">IF(OFFSET(TblMagic[[#This Row],[Active Alchemists Flame]],-1,0)&gt;0,TblConstr[[#This Row],[Tot Alc]]*alchemist_flame_invest,0)</f>
        <v>0</v>
      </c>
      <c r="BL32" s="142"/>
      <c r="BM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2" s="142"/>
      <c r="BR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2" s="142"/>
      <c r="BW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2" s="61">
        <f>TblImps[[#This Row],[Login]]</f>
        <v>0</v>
      </c>
      <c r="BY32" s="137"/>
      <c r="BZ32" s="293">
        <f ca="1">OFFSET(TblImps[[#This Row],[Real time]],-1,0)+1/24</f>
        <v>46102.916666666599</v>
      </c>
      <c r="CA32" s="294">
        <f ca="1">OFFSET(TblImps[[#This Row],[Servertime]],-1,0)+1/24</f>
        <v>46103.166666666599</v>
      </c>
      <c r="CB32" s="57"/>
      <c r="CC32" s="292"/>
      <c r="CD32" s="292"/>
      <c r="CE32" s="45" t="s">
        <v>3</v>
      </c>
    </row>
    <row r="33" spans="1:83" x14ac:dyDescent="0.2">
      <c r="A33" s="214">
        <f ca="1">TblConstr[[#This Row],[Land]]</f>
        <v>110</v>
      </c>
      <c r="B33" s="142"/>
      <c r="C33" s="94">
        <f ca="1">TblProd[[#This Row],[Platinum]]</f>
        <v>97663</v>
      </c>
      <c r="D33" s="94">
        <f ca="1">TblProd[[#This Row],[Lumber]]</f>
        <v>36490</v>
      </c>
      <c r="E33" s="94">
        <f ca="1">TblProd[[#This Row],[Ore]]</f>
        <v>0</v>
      </c>
      <c r="F33" s="94">
        <f ca="1">TblProd[[#This Row],[Gems]]</f>
        <v>0</v>
      </c>
      <c r="G33" s="154"/>
      <c r="H33" s="94">
        <f ca="1">TblMili[[#This Row],[Draftees]]</f>
        <v>328</v>
      </c>
      <c r="I33" s="180">
        <f ca="1">TblPop[[#This Row],[Employment]]</f>
        <v>1</v>
      </c>
      <c r="J33" s="180">
        <f ca="1">TblPop[[#This Row],[Total]]/TblPop[[#This Row],[Net max]]</f>
        <v>1</v>
      </c>
      <c r="K33" s="283">
        <f>TblRezone[[#This Row],[Hour]]</f>
        <v>30</v>
      </c>
      <c r="L33" s="284">
        <f ca="1">TblImps[[#This Row],[Real time]]</f>
        <v>46102.958333333263</v>
      </c>
      <c r="M33" s="61">
        <f>IF(ISERROR(TblImps[[#This Row],[algorithm]]),0,TblImps[[#This Row],[algorithm]]*1)</f>
        <v>0</v>
      </c>
      <c r="N33" s="94">
        <f ca="1">TblImps[[#This Row],[Land]]</f>
        <v>110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57">
        <f ca="1">IF(OFFSET(TblMagic[[#This Row],[Active Alchemists Flame]],-1,0)&gt;0,TblConstr[[#This Row],[Tot Alc]]*alchemist_flame_invest,0)</f>
        <v>0</v>
      </c>
      <c r="BL33" s="142"/>
      <c r="BM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3" s="142"/>
      <c r="BR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3" s="142"/>
      <c r="BW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3" s="61">
        <f>TblImps[[#This Row],[Login]]</f>
        <v>0</v>
      </c>
      <c r="BY33" s="137"/>
      <c r="BZ33" s="293">
        <f ca="1">OFFSET(TblImps[[#This Row],[Real time]],-1,0)+1/24</f>
        <v>46102.958333333263</v>
      </c>
      <c r="CA33" s="294">
        <f ca="1">OFFSET(TblImps[[#This Row],[Servertime]],-1,0)+1/24</f>
        <v>46103.208333333263</v>
      </c>
      <c r="CB33" s="57"/>
      <c r="CC33" s="292"/>
      <c r="CD33" s="292"/>
      <c r="CE33" s="45" t="s">
        <v>2</v>
      </c>
    </row>
    <row r="34" spans="1:83" x14ac:dyDescent="0.2">
      <c r="A34" s="214">
        <f ca="1">TblConstr[[#This Row],[Land]]</f>
        <v>110</v>
      </c>
      <c r="B34" s="142"/>
      <c r="C34" s="94">
        <f ca="1">TblProd[[#This Row],[Platinum]]</f>
        <v>99682</v>
      </c>
      <c r="D34" s="94">
        <f ca="1">TblProd[[#This Row],[Lumber]]</f>
        <v>37125</v>
      </c>
      <c r="E34" s="94">
        <f ca="1">TblProd[[#This Row],[Ore]]</f>
        <v>0</v>
      </c>
      <c r="F34" s="94">
        <f ca="1">TblProd[[#This Row],[Gems]]</f>
        <v>0</v>
      </c>
      <c r="G34" s="154"/>
      <c r="H34" s="94">
        <f ca="1">TblMili[[#This Row],[Draftees]]</f>
        <v>335</v>
      </c>
      <c r="I34" s="180">
        <f ca="1">TblPop[[#This Row],[Employment]]</f>
        <v>1</v>
      </c>
      <c r="J34" s="180">
        <f ca="1">TblPop[[#This Row],[Total]]/TblPop[[#This Row],[Net max]]</f>
        <v>1</v>
      </c>
      <c r="K34" s="283">
        <f>TblRezone[[#This Row],[Hour]]</f>
        <v>31</v>
      </c>
      <c r="L34" s="284">
        <f ca="1">TblImps[[#This Row],[Real time]]</f>
        <v>46102.999999999927</v>
      </c>
      <c r="M34" s="61">
        <f>IF(ISERROR(TblImps[[#This Row],[algorithm]]),0,TblImps[[#This Row],[algorithm]]*1)</f>
        <v>0</v>
      </c>
      <c r="N34" s="94">
        <f ca="1">TblImps[[#This Row],[Land]]</f>
        <v>110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57">
        <f ca="1">IF(OFFSET(TblMagic[[#This Row],[Active Alchemists Flame]],-1,0)&gt;0,TblConstr[[#This Row],[Tot Alc]]*alchemist_flame_invest,0)</f>
        <v>0</v>
      </c>
      <c r="BL34" s="142"/>
      <c r="BM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4" s="142"/>
      <c r="BR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4" s="142"/>
      <c r="BW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4" s="61">
        <f>TblImps[[#This Row],[Login]]</f>
        <v>0</v>
      </c>
      <c r="BY34" s="137"/>
      <c r="BZ34" s="293">
        <f ca="1">OFFSET(TblImps[[#This Row],[Real time]],-1,0)+1/24</f>
        <v>46102.999999999927</v>
      </c>
      <c r="CA34" s="294">
        <f ca="1">OFFSET(TblImps[[#This Row],[Servertime]],-1,0)+1/24</f>
        <v>46103.249999999927</v>
      </c>
      <c r="CB34" s="57"/>
      <c r="CC34" s="292"/>
      <c r="CD34" s="292"/>
    </row>
    <row r="35" spans="1:83" x14ac:dyDescent="0.2">
      <c r="A35" s="214">
        <f ca="1">TblConstr[[#This Row],[Land]]</f>
        <v>110</v>
      </c>
      <c r="B35" s="142"/>
      <c r="C35" s="94">
        <f ca="1">TblProd[[#This Row],[Platinum]]</f>
        <v>101682</v>
      </c>
      <c r="D35" s="94">
        <f ca="1">TblProd[[#This Row],[Lumber]]</f>
        <v>37754</v>
      </c>
      <c r="E35" s="94">
        <f ca="1">TblProd[[#This Row],[Ore]]</f>
        <v>0</v>
      </c>
      <c r="F35" s="94">
        <f ca="1">TblProd[[#This Row],[Gems]]</f>
        <v>0</v>
      </c>
      <c r="G35" s="154"/>
      <c r="H35" s="94">
        <f ca="1">TblMili[[#This Row],[Draftees]]</f>
        <v>342</v>
      </c>
      <c r="I35" s="180">
        <f ca="1">TblPop[[#This Row],[Employment]]</f>
        <v>1</v>
      </c>
      <c r="J35" s="180">
        <f ca="1">TblPop[[#This Row],[Total]]/TblPop[[#This Row],[Net max]]</f>
        <v>1</v>
      </c>
      <c r="K35" s="283">
        <f>TblRezone[[#This Row],[Hour]]</f>
        <v>32</v>
      </c>
      <c r="L35" s="284">
        <f ca="1">TblImps[[#This Row],[Real time]]</f>
        <v>46103.041666666591</v>
      </c>
      <c r="M35" s="61">
        <f>IF(ISERROR(TblImps[[#This Row],[algorithm]]),0,TblImps[[#This Row],[algorithm]]*1)</f>
        <v>0</v>
      </c>
      <c r="N35" s="94">
        <f ca="1">TblImps[[#This Row],[Land]]</f>
        <v>110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57">
        <f ca="1">IF(OFFSET(TblMagic[[#This Row],[Active Alchemists Flame]],-1,0)&gt;0,TblConstr[[#This Row],[Tot Alc]]*alchemist_flame_invest,0)</f>
        <v>0</v>
      </c>
      <c r="BL35" s="142"/>
      <c r="BM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5" s="142"/>
      <c r="BR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5" s="142"/>
      <c r="BW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5" s="61">
        <f>TblImps[[#This Row],[Login]]</f>
        <v>0</v>
      </c>
      <c r="BY35" s="137"/>
      <c r="BZ35" s="293">
        <f ca="1">OFFSET(TblImps[[#This Row],[Real time]],-1,0)+1/24</f>
        <v>46103.041666666591</v>
      </c>
      <c r="CA35" s="294">
        <f ca="1">OFFSET(TblImps[[#This Row],[Servertime]],-1,0)+1/24</f>
        <v>46103.291666666591</v>
      </c>
      <c r="CB35" s="57"/>
      <c r="CC35" s="292"/>
      <c r="CD35" s="292"/>
      <c r="CE35" s="45" t="s">
        <v>208</v>
      </c>
    </row>
    <row r="36" spans="1:83" x14ac:dyDescent="0.2">
      <c r="A36" s="214">
        <f ca="1">TblConstr[[#This Row],[Land]]</f>
        <v>110</v>
      </c>
      <c r="B36" s="142"/>
      <c r="C36" s="94">
        <f ca="1">TblProd[[#This Row],[Platinum]]</f>
        <v>103663</v>
      </c>
      <c r="D36" s="94">
        <f ca="1">TblProd[[#This Row],[Lumber]]</f>
        <v>38376</v>
      </c>
      <c r="E36" s="94">
        <f ca="1">TblProd[[#This Row],[Ore]]</f>
        <v>0</v>
      </c>
      <c r="F36" s="94">
        <f ca="1">TblProd[[#This Row],[Gems]]</f>
        <v>0</v>
      </c>
      <c r="G36" s="154"/>
      <c r="H36" s="94">
        <f ca="1">TblMili[[#This Row],[Draftees]]</f>
        <v>349</v>
      </c>
      <c r="I36" s="180">
        <f ca="1">TblPop[[#This Row],[Employment]]</f>
        <v>1</v>
      </c>
      <c r="J36" s="180">
        <f ca="1">TblPop[[#This Row],[Total]]/TblPop[[#This Row],[Net max]]</f>
        <v>1</v>
      </c>
      <c r="K36" s="283">
        <f>TblRezone[[#This Row],[Hour]]</f>
        <v>33</v>
      </c>
      <c r="L36" s="284">
        <f ca="1">TblImps[[#This Row],[Real time]]</f>
        <v>46103.083333333256</v>
      </c>
      <c r="M36" s="61">
        <f>IF(ISERROR(TblImps[[#This Row],[algorithm]]),0,TblImps[[#This Row],[algorithm]]*1)</f>
        <v>0</v>
      </c>
      <c r="N36" s="94">
        <f ca="1">TblImps[[#This Row],[Land]]</f>
        <v>110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57">
        <f ca="1">IF(OFFSET(TblMagic[[#This Row],[Active Alchemists Flame]],-1,0)&gt;0,TblConstr[[#This Row],[Tot Alc]]*alchemist_flame_invest,0)</f>
        <v>0</v>
      </c>
      <c r="BL36" s="142"/>
      <c r="BM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6" s="142"/>
      <c r="BR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6" s="142"/>
      <c r="BW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6" s="61">
        <f>TblImps[[#This Row],[Login]]</f>
        <v>0</v>
      </c>
      <c r="BY36" s="137"/>
      <c r="BZ36" s="293">
        <f ca="1">OFFSET(TblImps[[#This Row],[Real time]],-1,0)+1/24</f>
        <v>46103.083333333256</v>
      </c>
      <c r="CA36" s="294">
        <f ca="1">OFFSET(TblImps[[#This Row],[Servertime]],-1,0)+1/24</f>
        <v>46103.333333333256</v>
      </c>
      <c r="CB36" s="57"/>
      <c r="CC36" s="292"/>
      <c r="CD36" s="292"/>
      <c r="CE36" s="45" t="s">
        <v>210</v>
      </c>
    </row>
    <row r="37" spans="1:83" x14ac:dyDescent="0.2">
      <c r="A37" s="214">
        <f ca="1">TblConstr[[#This Row],[Land]]</f>
        <v>110</v>
      </c>
      <c r="B37" s="142"/>
      <c r="C37" s="94">
        <f ca="1">TblProd[[#This Row],[Platinum]]</f>
        <v>105625</v>
      </c>
      <c r="D37" s="94">
        <f ca="1">TblProd[[#This Row],[Lumber]]</f>
        <v>38992</v>
      </c>
      <c r="E37" s="94">
        <f ca="1">TblProd[[#This Row],[Ore]]</f>
        <v>0</v>
      </c>
      <c r="F37" s="94">
        <f ca="1">TblProd[[#This Row],[Gems]]</f>
        <v>0</v>
      </c>
      <c r="G37" s="154"/>
      <c r="H37" s="94">
        <f ca="1">TblMili[[#This Row],[Draftees]]</f>
        <v>356</v>
      </c>
      <c r="I37" s="180">
        <f ca="1">TblPop[[#This Row],[Employment]]</f>
        <v>1</v>
      </c>
      <c r="J37" s="180">
        <f ca="1">TblPop[[#This Row],[Total]]/TblPop[[#This Row],[Net max]]</f>
        <v>1</v>
      </c>
      <c r="K37" s="283">
        <f>TblRezone[[#This Row],[Hour]]</f>
        <v>34</v>
      </c>
      <c r="L37" s="284">
        <f ca="1">TblImps[[#This Row],[Real time]]</f>
        <v>46103.12499999992</v>
      </c>
      <c r="M37" s="61">
        <f>IF(ISERROR(TblImps[[#This Row],[algorithm]]),0,TblImps[[#This Row],[algorithm]]*1)</f>
        <v>0</v>
      </c>
      <c r="N37" s="94">
        <f ca="1">TblImps[[#This Row],[Land]]</f>
        <v>110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57">
        <f ca="1">IF(OFFSET(TblMagic[[#This Row],[Active Alchemists Flame]],-1,0)&gt;0,TblConstr[[#This Row],[Tot Alc]]*alchemist_flame_invest,0)</f>
        <v>0</v>
      </c>
      <c r="BL37" s="142"/>
      <c r="BM3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7" s="142"/>
      <c r="BR3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7" s="142"/>
      <c r="BW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7" s="61">
        <f>TblImps[[#This Row],[Login]]</f>
        <v>0</v>
      </c>
      <c r="BY37" s="137"/>
      <c r="BZ37" s="293">
        <f ca="1">OFFSET(TblImps[[#This Row],[Real time]],-1,0)+1/24</f>
        <v>46103.12499999992</v>
      </c>
      <c r="CA37" s="294">
        <f ca="1">OFFSET(TblImps[[#This Row],[Servertime]],-1,0)+1/24</f>
        <v>46103.37499999992</v>
      </c>
      <c r="CB37" s="57"/>
      <c r="CC37" s="292"/>
      <c r="CD37" s="292"/>
      <c r="CE37" s="45" t="s">
        <v>1107</v>
      </c>
    </row>
    <row r="38" spans="1:83" x14ac:dyDescent="0.2">
      <c r="A38" s="214">
        <f ca="1">TblConstr[[#This Row],[Land]]</f>
        <v>110</v>
      </c>
      <c r="B38" s="142"/>
      <c r="C38" s="94">
        <f ca="1">TblProd[[#This Row],[Platinum]]</f>
        <v>107569</v>
      </c>
      <c r="D38" s="94">
        <f ca="1">TblProd[[#This Row],[Lumber]]</f>
        <v>39602</v>
      </c>
      <c r="E38" s="94">
        <f ca="1">TblProd[[#This Row],[Ore]]</f>
        <v>0</v>
      </c>
      <c r="F38" s="94">
        <f ca="1">TblProd[[#This Row],[Gems]]</f>
        <v>0</v>
      </c>
      <c r="G38" s="154"/>
      <c r="H38" s="94">
        <f ca="1">TblMili[[#This Row],[Draftees]]</f>
        <v>363</v>
      </c>
      <c r="I38" s="180">
        <f ca="1">TblPop[[#This Row],[Employment]]</f>
        <v>1</v>
      </c>
      <c r="J38" s="180">
        <f ca="1">TblPop[[#This Row],[Total]]/TblPop[[#This Row],[Net max]]</f>
        <v>1</v>
      </c>
      <c r="K38" s="283">
        <f>TblRezone[[#This Row],[Hour]]</f>
        <v>35</v>
      </c>
      <c r="L38" s="284">
        <f ca="1">TblImps[[#This Row],[Real time]]</f>
        <v>46103.166666666584</v>
      </c>
      <c r="M38" s="61">
        <f>IF(ISERROR(TblImps[[#This Row],[algorithm]]),0,TblImps[[#This Row],[algorithm]]*1)</f>
        <v>0</v>
      </c>
      <c r="N38" s="94">
        <f ca="1">TblImps[[#This Row],[Land]]</f>
        <v>110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57">
        <f ca="1">IF(OFFSET(TblMagic[[#This Row],[Active Alchemists Flame]],-1,0)&gt;0,TblConstr[[#This Row],[Tot Alc]]*alchemist_flame_invest,0)</f>
        <v>0</v>
      </c>
      <c r="BL38" s="142"/>
      <c r="BM3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8" s="142"/>
      <c r="BR3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8" s="142"/>
      <c r="BW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8" s="61">
        <f>TblImps[[#This Row],[Login]]</f>
        <v>0</v>
      </c>
      <c r="BY38" s="137"/>
      <c r="BZ38" s="293">
        <f ca="1">OFFSET(TblImps[[#This Row],[Real time]],-1,0)+1/24</f>
        <v>46103.166666666584</v>
      </c>
      <c r="CA38" s="294">
        <f ca="1">OFFSET(TblImps[[#This Row],[Servertime]],-1,0)+1/24</f>
        <v>46103.416666666584</v>
      </c>
      <c r="CB38" s="57"/>
      <c r="CC38" s="292"/>
      <c r="CD38" s="292"/>
      <c r="CE38" s="45" t="s">
        <v>212</v>
      </c>
    </row>
    <row r="39" spans="1:83" x14ac:dyDescent="0.2">
      <c r="A39" s="214">
        <f ca="1">TblConstr[[#This Row],[Land]]</f>
        <v>110</v>
      </c>
      <c r="B39" s="142"/>
      <c r="C39" s="94">
        <f ca="1">TblProd[[#This Row],[Platinum]]</f>
        <v>109494</v>
      </c>
      <c r="D39" s="94">
        <f ca="1">TblProd[[#This Row],[Lumber]]</f>
        <v>40206</v>
      </c>
      <c r="E39" s="94">
        <f ca="1">TblProd[[#This Row],[Ore]]</f>
        <v>0</v>
      </c>
      <c r="F39" s="94">
        <f ca="1">TblProd[[#This Row],[Gems]]</f>
        <v>0</v>
      </c>
      <c r="G39" s="154"/>
      <c r="H39" s="94">
        <f ca="1">TblMili[[#This Row],[Draftees]]</f>
        <v>370</v>
      </c>
      <c r="I39" s="180">
        <f ca="1">TblPop[[#This Row],[Employment]]</f>
        <v>1</v>
      </c>
      <c r="J39" s="180">
        <f ca="1">TblPop[[#This Row],[Total]]/TblPop[[#This Row],[Net max]]</f>
        <v>1</v>
      </c>
      <c r="K39" s="283">
        <f>TblRezone[[#This Row],[Hour]]</f>
        <v>36</v>
      </c>
      <c r="L39" s="284">
        <f ca="1">TblImps[[#This Row],[Real time]]</f>
        <v>46103.208333333248</v>
      </c>
      <c r="M39" s="61">
        <f>IF(ISERROR(TblImps[[#This Row],[algorithm]]),0,TblImps[[#This Row],[algorithm]]*1)</f>
        <v>0</v>
      </c>
      <c r="N39" s="94">
        <f ca="1">TblImps[[#This Row],[Land]]</f>
        <v>110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57">
        <f ca="1">IF(OFFSET(TblMagic[[#This Row],[Active Alchemists Flame]],-1,0)&gt;0,TblConstr[[#This Row],[Tot Alc]]*alchemist_flame_invest,0)</f>
        <v>0</v>
      </c>
      <c r="BL39" s="142"/>
      <c r="BM3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9" s="142"/>
      <c r="BR3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9" s="142"/>
      <c r="BW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9" s="61">
        <f>TblImps[[#This Row],[Login]]</f>
        <v>0</v>
      </c>
      <c r="BY39" s="137"/>
      <c r="BZ39" s="293">
        <f ca="1">OFFSET(TblImps[[#This Row],[Real time]],-1,0)+1/24</f>
        <v>46103.208333333248</v>
      </c>
      <c r="CA39" s="294">
        <f ca="1">OFFSET(TblImps[[#This Row],[Servertime]],-1,0)+1/24</f>
        <v>46103.458333333248</v>
      </c>
      <c r="CB39" s="57"/>
      <c r="CC39" s="292"/>
      <c r="CD39" s="292"/>
      <c r="CE39" s="45" t="s">
        <v>213</v>
      </c>
    </row>
    <row r="40" spans="1:83" s="5" customFormat="1" x14ac:dyDescent="0.2">
      <c r="A40" s="230">
        <f ca="1">TblConstr[[#This Row],[Land]]</f>
        <v>110</v>
      </c>
      <c r="B40" s="149"/>
      <c r="C40" s="35">
        <f ca="1">TblProd[[#This Row],[Platinum]]</f>
        <v>111400</v>
      </c>
      <c r="D40" s="35">
        <f ca="1">TblProd[[#This Row],[Lumber]]</f>
        <v>40804</v>
      </c>
      <c r="E40" s="35">
        <f ca="1">TblProd[[#This Row],[Ore]]</f>
        <v>0</v>
      </c>
      <c r="F40" s="35">
        <f ca="1">TblProd[[#This Row],[Gems]]</f>
        <v>0</v>
      </c>
      <c r="G40" s="162"/>
      <c r="H40" s="35">
        <f ca="1">TblMili[[#This Row],[Draftees]]</f>
        <v>377</v>
      </c>
      <c r="I40" s="436">
        <f ca="1">TblPop[[#This Row],[Employment]]</f>
        <v>1</v>
      </c>
      <c r="J40" s="436">
        <f ca="1">TblPop[[#This Row],[Total]]/TblPop[[#This Row],[Net max]]</f>
        <v>1</v>
      </c>
      <c r="K40" s="298">
        <f>TblRezone[[#This Row],[Hour]]</f>
        <v>37</v>
      </c>
      <c r="L40" s="299">
        <f ca="1">TblImps[[#This Row],[Real time]]</f>
        <v>46103.249999999913</v>
      </c>
      <c r="M40" s="148">
        <f>IF(ISERROR(TblImps[[#This Row],[algorithm]]),0,TblImps[[#This Row],[algorithm]]*1)</f>
        <v>0</v>
      </c>
      <c r="N40" s="35">
        <f ca="1">TblImps[[#This Row],[Land]]</f>
        <v>110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28">
        <f ca="1">IF(OFFSET(TblMagic[[#This Row],[Active Alchemists Flame]],-1,0)&gt;0,TblConstr[[#This Row],[Tot Alc]]*alchemist_flame_invest,0)</f>
        <v>0</v>
      </c>
      <c r="BL40" s="149"/>
      <c r="BM40" s="28">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0" s="28">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0" s="28">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0" s="28">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0" s="149"/>
      <c r="BR40" s="28">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0" s="28">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0" s="28">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0" s="28">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0" s="149"/>
      <c r="BW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0" s="148">
        <f>TblImps[[#This Row],[Login]]</f>
        <v>0</v>
      </c>
      <c r="BY40" s="144"/>
      <c r="BZ40" s="459">
        <f ca="1">OFFSET(TblImps[[#This Row],[Real time]],-1,0)+1/24</f>
        <v>46103.249999999913</v>
      </c>
      <c r="CA40" s="460">
        <f ca="1">OFFSET(TblImps[[#This Row],[Servertime]],-1,0)+1/24</f>
        <v>46103.499999999913</v>
      </c>
      <c r="CB40" s="28"/>
      <c r="CC40" s="461"/>
      <c r="CD40" s="461"/>
      <c r="CE40" s="5" t="s">
        <v>526</v>
      </c>
    </row>
    <row r="41" spans="1:83" x14ac:dyDescent="0.2">
      <c r="A41" s="214">
        <f ca="1">TblConstr[[#This Row],[Land]]</f>
        <v>110</v>
      </c>
      <c r="B41" s="142"/>
      <c r="C41" s="94">
        <f ca="1">TblProd[[#This Row],[Platinum]]</f>
        <v>113287</v>
      </c>
      <c r="D41" s="94">
        <f ca="1">TblProd[[#This Row],[Lumber]]</f>
        <v>41396</v>
      </c>
      <c r="E41" s="94">
        <f ca="1">TblProd[[#This Row],[Ore]]</f>
        <v>0</v>
      </c>
      <c r="F41" s="94">
        <f ca="1">TblProd[[#This Row],[Gems]]</f>
        <v>0</v>
      </c>
      <c r="G41" s="154"/>
      <c r="H41" s="94">
        <f ca="1">TblMili[[#This Row],[Draftees]]</f>
        <v>384</v>
      </c>
      <c r="I41" s="180">
        <f ca="1">TblPop[[#This Row],[Employment]]</f>
        <v>1</v>
      </c>
      <c r="J41" s="180">
        <f ca="1">TblPop[[#This Row],[Total]]/TblPop[[#This Row],[Net max]]</f>
        <v>1</v>
      </c>
      <c r="K41" s="283">
        <f>TblRezone[[#This Row],[Hour]]</f>
        <v>38</v>
      </c>
      <c r="L41" s="284">
        <f ca="1">TblImps[[#This Row],[Real time]]</f>
        <v>46103.291666666577</v>
      </c>
      <c r="M41" s="61">
        <f>IF(ISERROR(TblImps[[#This Row],[algorithm]]),0,TblImps[[#This Row],[algorithm]]*1)</f>
        <v>0</v>
      </c>
      <c r="N41" s="94">
        <f ca="1">TblImps[[#This Row],[Land]]</f>
        <v>110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57">
        <f ca="1">IF(OFFSET(TblMagic[[#This Row],[Active Alchemists Flame]],-1,0)&gt;0,TblConstr[[#This Row],[Tot Alc]]*alchemist_flame_invest,0)</f>
        <v>0</v>
      </c>
      <c r="BL41" s="142"/>
      <c r="BM4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1" s="142"/>
      <c r="BR4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1" s="142"/>
      <c r="BW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1" s="61">
        <f>TblImps[[#This Row],[Login]]</f>
        <v>0</v>
      </c>
      <c r="BY41" s="137"/>
      <c r="BZ41" s="293">
        <f ca="1">OFFSET(TblImps[[#This Row],[Real time]],-1,0)+1/24</f>
        <v>46103.291666666577</v>
      </c>
      <c r="CA41" s="294">
        <f ca="1">OFFSET(TblImps[[#This Row],[Servertime]],-1,0)+1/24</f>
        <v>46103.541666666577</v>
      </c>
      <c r="CB41" s="57"/>
      <c r="CC41" s="292"/>
      <c r="CD41" s="292"/>
    </row>
    <row r="42" spans="1:83" x14ac:dyDescent="0.2">
      <c r="A42" s="214">
        <f ca="1">TblConstr[[#This Row],[Land]]</f>
        <v>110</v>
      </c>
      <c r="B42" s="142"/>
      <c r="C42" s="94">
        <f ca="1">TblProd[[#This Row],[Platinum]]</f>
        <v>115155</v>
      </c>
      <c r="D42" s="94">
        <f ca="1">TblProd[[#This Row],[Lumber]]</f>
        <v>41982</v>
      </c>
      <c r="E42" s="94">
        <f ca="1">TblProd[[#This Row],[Ore]]</f>
        <v>0</v>
      </c>
      <c r="F42" s="94">
        <f ca="1">TblProd[[#This Row],[Gems]]</f>
        <v>0</v>
      </c>
      <c r="G42" s="154"/>
      <c r="H42" s="94">
        <f ca="1">TblMili[[#This Row],[Draftees]]</f>
        <v>391</v>
      </c>
      <c r="I42" s="180">
        <f ca="1">TblPop[[#This Row],[Employment]]</f>
        <v>1</v>
      </c>
      <c r="J42" s="180">
        <f ca="1">TblPop[[#This Row],[Total]]/TblPop[[#This Row],[Net max]]</f>
        <v>1</v>
      </c>
      <c r="K42" s="283">
        <f>TblRezone[[#This Row],[Hour]]</f>
        <v>39</v>
      </c>
      <c r="L42" s="284">
        <f ca="1">TblImps[[#This Row],[Real time]]</f>
        <v>46103.333333333241</v>
      </c>
      <c r="M42" s="61">
        <f>IF(ISERROR(TblImps[[#This Row],[algorithm]]),0,TblImps[[#This Row],[algorithm]]*1)</f>
        <v>0</v>
      </c>
      <c r="N42" s="94">
        <f ca="1">TblImps[[#This Row],[Land]]</f>
        <v>110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57">
        <f ca="1">IF(OFFSET(TblMagic[[#This Row],[Active Alchemists Flame]],-1,0)&gt;0,TblConstr[[#This Row],[Tot Alc]]*alchemist_flame_invest,0)</f>
        <v>0</v>
      </c>
      <c r="BL42" s="142"/>
      <c r="BM4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2" s="142"/>
      <c r="BR4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2" s="142"/>
      <c r="BW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2" s="61">
        <f>TblImps[[#This Row],[Login]]</f>
        <v>0</v>
      </c>
      <c r="BY42" s="137"/>
      <c r="BZ42" s="293">
        <f ca="1">OFFSET(TblImps[[#This Row],[Real time]],-1,0)+1/24</f>
        <v>46103.333333333241</v>
      </c>
      <c r="CA42" s="294">
        <f ca="1">OFFSET(TblImps[[#This Row],[Servertime]],-1,0)+1/24</f>
        <v>46103.583333333241</v>
      </c>
      <c r="CB42" s="297"/>
      <c r="CC42" s="292"/>
      <c r="CD42" s="292"/>
    </row>
    <row r="43" spans="1:83" x14ac:dyDescent="0.2">
      <c r="A43" s="214">
        <f ca="1">TblConstr[[#This Row],[Land]]</f>
        <v>110</v>
      </c>
      <c r="B43" s="142"/>
      <c r="C43" s="94">
        <f ca="1">TblProd[[#This Row],[Platinum]]</f>
        <v>117004</v>
      </c>
      <c r="D43" s="94">
        <f ca="1">TblProd[[#This Row],[Lumber]]</f>
        <v>42562</v>
      </c>
      <c r="E43" s="94">
        <f ca="1">TblProd[[#This Row],[Ore]]</f>
        <v>0</v>
      </c>
      <c r="F43" s="94">
        <f ca="1">TblProd[[#This Row],[Gems]]</f>
        <v>0</v>
      </c>
      <c r="G43" s="154"/>
      <c r="H43" s="94">
        <f ca="1">TblMili[[#This Row],[Draftees]]</f>
        <v>398</v>
      </c>
      <c r="I43" s="180">
        <f ca="1">TblPop[[#This Row],[Employment]]</f>
        <v>1</v>
      </c>
      <c r="J43" s="180">
        <f ca="1">TblPop[[#This Row],[Total]]/TblPop[[#This Row],[Net max]]</f>
        <v>1</v>
      </c>
      <c r="K43" s="283">
        <f>TblRezone[[#This Row],[Hour]]</f>
        <v>40</v>
      </c>
      <c r="L43" s="284">
        <f ca="1">TblImps[[#This Row],[Real time]]</f>
        <v>46103.374999999905</v>
      </c>
      <c r="M43" s="61">
        <f>IF(ISERROR(TblImps[[#This Row],[algorithm]]),0,TblImps[[#This Row],[algorithm]]*1)</f>
        <v>0</v>
      </c>
      <c r="N43" s="94">
        <f ca="1">TblImps[[#This Row],[Land]]</f>
        <v>110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57">
        <f ca="1">IF(OFFSET(TblMagic[[#This Row],[Active Alchemists Flame]],-1,0)&gt;0,TblConstr[[#This Row],[Tot Alc]]*alchemist_flame_invest,0)</f>
        <v>0</v>
      </c>
      <c r="BL43" s="142"/>
      <c r="BM4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3" s="142"/>
      <c r="BR4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3" s="142"/>
      <c r="BW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3" s="61">
        <f>TblImps[[#This Row],[Login]]</f>
        <v>0</v>
      </c>
      <c r="BY43" s="137"/>
      <c r="BZ43" s="293">
        <f ca="1">OFFSET(TblImps[[#This Row],[Real time]],-1,0)+1/24</f>
        <v>46103.374999999905</v>
      </c>
      <c r="CA43" s="294">
        <f ca="1">OFFSET(TblImps[[#This Row],[Servertime]],-1,0)+1/24</f>
        <v>46103.624999999905</v>
      </c>
      <c r="CB43" s="57"/>
      <c r="CC43" s="292"/>
      <c r="CD43" s="292"/>
    </row>
    <row r="44" spans="1:83" x14ac:dyDescent="0.2">
      <c r="A44" s="214">
        <f ca="1">TblConstr[[#This Row],[Land]]</f>
        <v>110</v>
      </c>
      <c r="B44" s="142"/>
      <c r="C44" s="94">
        <f ca="1">TblProd[[#This Row],[Platinum]]</f>
        <v>118834</v>
      </c>
      <c r="D44" s="94">
        <f ca="1">TblProd[[#This Row],[Lumber]]</f>
        <v>43136</v>
      </c>
      <c r="E44" s="94">
        <f ca="1">TblProd[[#This Row],[Ore]]</f>
        <v>0</v>
      </c>
      <c r="F44" s="94">
        <f ca="1">TblProd[[#This Row],[Gems]]</f>
        <v>0</v>
      </c>
      <c r="G44" s="154"/>
      <c r="H44" s="94">
        <f ca="1">TblMili[[#This Row],[Draftees]]</f>
        <v>405</v>
      </c>
      <c r="I44" s="180">
        <f ca="1">TblPop[[#This Row],[Employment]]</f>
        <v>1</v>
      </c>
      <c r="J44" s="180">
        <f ca="1">TblPop[[#This Row],[Total]]/TblPop[[#This Row],[Net max]]</f>
        <v>1</v>
      </c>
      <c r="K44" s="283">
        <f>TblRezone[[#This Row],[Hour]]</f>
        <v>41</v>
      </c>
      <c r="L44" s="284">
        <f ca="1">TblImps[[#This Row],[Real time]]</f>
        <v>46103.41666666657</v>
      </c>
      <c r="M44" s="61">
        <f>IF(ISERROR(TblImps[[#This Row],[algorithm]]),0,TblImps[[#This Row],[algorithm]]*1)</f>
        <v>0</v>
      </c>
      <c r="N44" s="94">
        <f ca="1">TblImps[[#This Row],[Land]]</f>
        <v>110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57">
        <f ca="1">IF(OFFSET(TblMagic[[#This Row],[Active Alchemists Flame]],-1,0)&gt;0,TblConstr[[#This Row],[Tot Alc]]*alchemist_flame_invest,0)</f>
        <v>0</v>
      </c>
      <c r="BL44" s="142"/>
      <c r="BM4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4" s="142"/>
      <c r="BR4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4" s="142"/>
      <c r="BW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4" s="61">
        <f>TblImps[[#This Row],[Login]]</f>
        <v>0</v>
      </c>
      <c r="BY44" s="137"/>
      <c r="BZ44" s="293">
        <f ca="1">OFFSET(TblImps[[#This Row],[Real time]],-1,0)+1/24</f>
        <v>46103.41666666657</v>
      </c>
      <c r="CA44" s="294">
        <f ca="1">OFFSET(TblImps[[#This Row],[Servertime]],-1,0)+1/24</f>
        <v>46103.66666666657</v>
      </c>
      <c r="CB44" s="57"/>
      <c r="CC44" s="292"/>
      <c r="CD44" s="292"/>
    </row>
    <row r="45" spans="1:83" x14ac:dyDescent="0.2">
      <c r="A45" s="214">
        <f ca="1">TblConstr[[#This Row],[Land]]</f>
        <v>110</v>
      </c>
      <c r="B45" s="142"/>
      <c r="C45" s="94">
        <f ca="1">TblProd[[#This Row],[Platinum]]</f>
        <v>120645</v>
      </c>
      <c r="D45" s="94">
        <f ca="1">TblProd[[#This Row],[Lumber]]</f>
        <v>43705</v>
      </c>
      <c r="E45" s="94">
        <f ca="1">TblProd[[#This Row],[Ore]]</f>
        <v>0</v>
      </c>
      <c r="F45" s="94">
        <f ca="1">TblProd[[#This Row],[Gems]]</f>
        <v>0</v>
      </c>
      <c r="G45" s="154"/>
      <c r="H45" s="94">
        <f ca="1">TblMili[[#This Row],[Draftees]]</f>
        <v>412</v>
      </c>
      <c r="I45" s="180">
        <f ca="1">TblPop[[#This Row],[Employment]]</f>
        <v>1</v>
      </c>
      <c r="J45" s="180">
        <f ca="1">TblPop[[#This Row],[Total]]/TblPop[[#This Row],[Net max]]</f>
        <v>1</v>
      </c>
      <c r="K45" s="283">
        <f>TblRezone[[#This Row],[Hour]]</f>
        <v>42</v>
      </c>
      <c r="L45" s="284">
        <f ca="1">TblImps[[#This Row],[Real time]]</f>
        <v>46103.458333333234</v>
      </c>
      <c r="M45" s="61">
        <f>IF(ISERROR(TblImps[[#This Row],[algorithm]]),0,TblImps[[#This Row],[algorithm]]*1)</f>
        <v>0</v>
      </c>
      <c r="N45" s="94">
        <f ca="1">TblImps[[#This Row],[Land]]</f>
        <v>110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57">
        <f ca="1">IF(OFFSET(TblMagic[[#This Row],[Active Alchemists Flame]],-1,0)&gt;0,TblConstr[[#This Row],[Tot Alc]]*alchemist_flame_invest,0)</f>
        <v>0</v>
      </c>
      <c r="BL45" s="142"/>
      <c r="BM4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5" s="142"/>
      <c r="BR4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5" s="142"/>
      <c r="BW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5" s="61">
        <f>TblImps[[#This Row],[Login]]</f>
        <v>0</v>
      </c>
      <c r="BY45" s="137"/>
      <c r="BZ45" s="293">
        <f ca="1">OFFSET(TblImps[[#This Row],[Real time]],-1,0)+1/24</f>
        <v>46103.458333333234</v>
      </c>
      <c r="CA45" s="294">
        <f ca="1">OFFSET(TblImps[[#This Row],[Servertime]],-1,0)+1/24</f>
        <v>46103.708333333234</v>
      </c>
      <c r="CB45" s="57"/>
      <c r="CC45" s="292"/>
      <c r="CD45" s="292"/>
    </row>
    <row r="46" spans="1:83" x14ac:dyDescent="0.2">
      <c r="A46" s="214">
        <f ca="1">TblConstr[[#This Row],[Land]]</f>
        <v>110</v>
      </c>
      <c r="B46" s="142"/>
      <c r="C46" s="94">
        <f ca="1">TblProd[[#This Row],[Platinum]]</f>
        <v>122437</v>
      </c>
      <c r="D46" s="94">
        <f ca="1">TblProd[[#This Row],[Lumber]]</f>
        <v>44268</v>
      </c>
      <c r="E46" s="94">
        <f ca="1">TblProd[[#This Row],[Ore]]</f>
        <v>0</v>
      </c>
      <c r="F46" s="94">
        <f ca="1">TblProd[[#This Row],[Gems]]</f>
        <v>0</v>
      </c>
      <c r="G46" s="154"/>
      <c r="H46" s="94">
        <f ca="1">TblMili[[#This Row],[Draftees]]</f>
        <v>419</v>
      </c>
      <c r="I46" s="180">
        <f ca="1">TblPop[[#This Row],[Employment]]</f>
        <v>1</v>
      </c>
      <c r="J46" s="180">
        <f ca="1">TblPop[[#This Row],[Total]]/TblPop[[#This Row],[Net max]]</f>
        <v>1</v>
      </c>
      <c r="K46" s="283">
        <f>TblRezone[[#This Row],[Hour]]</f>
        <v>43</v>
      </c>
      <c r="L46" s="284">
        <f ca="1">TblImps[[#This Row],[Real time]]</f>
        <v>46103.499999999898</v>
      </c>
      <c r="M46" s="61">
        <f>IF(ISERROR(TblImps[[#This Row],[algorithm]]),0,TblImps[[#This Row],[algorithm]]*1)</f>
        <v>0</v>
      </c>
      <c r="N46" s="94">
        <f ca="1">TblImps[[#This Row],[Land]]</f>
        <v>110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57">
        <f ca="1">IF(OFFSET(TblMagic[[#This Row],[Active Alchemists Flame]],-1,0)&gt;0,TblConstr[[#This Row],[Tot Alc]]*alchemist_flame_invest,0)</f>
        <v>0</v>
      </c>
      <c r="BL46" s="142"/>
      <c r="BM4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6" s="142"/>
      <c r="BR4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6" s="142"/>
      <c r="BW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6" s="61">
        <f>TblImps[[#This Row],[Login]]</f>
        <v>0</v>
      </c>
      <c r="BY46" s="137"/>
      <c r="BZ46" s="293">
        <f ca="1">OFFSET(TblImps[[#This Row],[Real time]],-1,0)+1/24</f>
        <v>46103.499999999898</v>
      </c>
      <c r="CA46" s="294">
        <f ca="1">OFFSET(TblImps[[#This Row],[Servertime]],-1,0)+1/24</f>
        <v>46103.749999999898</v>
      </c>
      <c r="CB46" s="57"/>
      <c r="CC46" s="292"/>
      <c r="CD46" s="292"/>
    </row>
    <row r="47" spans="1:83" x14ac:dyDescent="0.2">
      <c r="A47" s="214">
        <f ca="1">TblConstr[[#This Row],[Land]]</f>
        <v>110</v>
      </c>
      <c r="B47" s="142"/>
      <c r="C47" s="94">
        <f ca="1">TblProd[[#This Row],[Platinum]]</f>
        <v>124210</v>
      </c>
      <c r="D47" s="94">
        <f ca="1">TblProd[[#This Row],[Lumber]]</f>
        <v>44825</v>
      </c>
      <c r="E47" s="94">
        <f ca="1">TblProd[[#This Row],[Ore]]</f>
        <v>0</v>
      </c>
      <c r="F47" s="94">
        <f ca="1">TblProd[[#This Row],[Gems]]</f>
        <v>0</v>
      </c>
      <c r="G47" s="154"/>
      <c r="H47" s="94">
        <f ca="1">TblMili[[#This Row],[Draftees]]</f>
        <v>426</v>
      </c>
      <c r="I47" s="180">
        <f ca="1">TblPop[[#This Row],[Employment]]</f>
        <v>1</v>
      </c>
      <c r="J47" s="180">
        <f ca="1">TblPop[[#This Row],[Total]]/TblPop[[#This Row],[Net max]]</f>
        <v>1</v>
      </c>
      <c r="K47" s="283">
        <f>TblRezone[[#This Row],[Hour]]</f>
        <v>44</v>
      </c>
      <c r="L47" s="284">
        <f ca="1">TblImps[[#This Row],[Real time]]</f>
        <v>46103.541666666562</v>
      </c>
      <c r="M47" s="61">
        <f>IF(ISERROR(TblImps[[#This Row],[algorithm]]),0,TblImps[[#This Row],[algorithm]]*1)</f>
        <v>0</v>
      </c>
      <c r="N47" s="94">
        <f ca="1">TblImps[[#This Row],[Land]]</f>
        <v>110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57">
        <f ca="1">IF(OFFSET(TblMagic[[#This Row],[Active Alchemists Flame]],-1,0)&gt;0,TblConstr[[#This Row],[Tot Alc]]*alchemist_flame_invest,0)</f>
        <v>0</v>
      </c>
      <c r="BL47" s="142"/>
      <c r="BM4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7" s="142"/>
      <c r="BR4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7" s="142"/>
      <c r="BW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7" s="61">
        <f>TblImps[[#This Row],[Login]]</f>
        <v>0</v>
      </c>
      <c r="BY47" s="137"/>
      <c r="BZ47" s="293">
        <f ca="1">OFFSET(TblImps[[#This Row],[Real time]],-1,0)+1/24</f>
        <v>46103.541666666562</v>
      </c>
      <c r="CA47" s="294">
        <f ca="1">OFFSET(TblImps[[#This Row],[Servertime]],-1,0)+1/24</f>
        <v>46103.791666666562</v>
      </c>
      <c r="CB47" s="57"/>
      <c r="CC47" s="292"/>
      <c r="CD47" s="292"/>
    </row>
    <row r="48" spans="1:83" x14ac:dyDescent="0.2">
      <c r="A48" s="214">
        <f ca="1">TblConstr[[#This Row],[Land]]</f>
        <v>110</v>
      </c>
      <c r="B48" s="142"/>
      <c r="C48" s="94">
        <f ca="1">TblProd[[#This Row],[Platinum]]</f>
        <v>125965</v>
      </c>
      <c r="D48" s="94">
        <f ca="1">TblProd[[#This Row],[Lumber]]</f>
        <v>45377</v>
      </c>
      <c r="E48" s="94">
        <f ca="1">TblProd[[#This Row],[Ore]]</f>
        <v>0</v>
      </c>
      <c r="F48" s="94">
        <f ca="1">TblProd[[#This Row],[Gems]]</f>
        <v>0</v>
      </c>
      <c r="G48" s="154"/>
      <c r="H48" s="94">
        <f ca="1">TblMili[[#This Row],[Draftees]]</f>
        <v>433</v>
      </c>
      <c r="I48" s="180">
        <f ca="1">TblPop[[#This Row],[Employment]]</f>
        <v>1</v>
      </c>
      <c r="J48" s="180">
        <f ca="1">TblPop[[#This Row],[Total]]/TblPop[[#This Row],[Net max]]</f>
        <v>1</v>
      </c>
      <c r="K48" s="283">
        <f>TblRezone[[#This Row],[Hour]]</f>
        <v>45</v>
      </c>
      <c r="L48" s="284">
        <f ca="1">TblImps[[#This Row],[Real time]]</f>
        <v>46103.583333333227</v>
      </c>
      <c r="M48" s="61">
        <f>IF(ISERROR(TblImps[[#This Row],[algorithm]]),0,TblImps[[#This Row],[algorithm]]*1)</f>
        <v>0</v>
      </c>
      <c r="N48" s="94">
        <f ca="1">TblImps[[#This Row],[Land]]</f>
        <v>110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57">
        <f ca="1">IF(OFFSET(TblMagic[[#This Row],[Active Alchemists Flame]],-1,0)&gt;0,TblConstr[[#This Row],[Tot Alc]]*alchemist_flame_invest,0)</f>
        <v>0</v>
      </c>
      <c r="BL48" s="142"/>
      <c r="BM4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8" s="142"/>
      <c r="BR4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8" s="142"/>
      <c r="BW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8" s="61">
        <f>TblImps[[#This Row],[Login]]</f>
        <v>0</v>
      </c>
      <c r="BY48" s="137"/>
      <c r="BZ48" s="293">
        <f ca="1">OFFSET(TblImps[[#This Row],[Real time]],-1,0)+1/24</f>
        <v>46103.583333333227</v>
      </c>
      <c r="CA48" s="294">
        <f ca="1">OFFSET(TblImps[[#This Row],[Servertime]],-1,0)+1/24</f>
        <v>46103.833333333227</v>
      </c>
      <c r="CB48" s="57"/>
      <c r="CC48" s="292"/>
      <c r="CD48" s="292"/>
    </row>
    <row r="49" spans="1:82" x14ac:dyDescent="0.2">
      <c r="A49" s="214">
        <f ca="1">TblConstr[[#This Row],[Land]]</f>
        <v>110</v>
      </c>
      <c r="B49" s="142"/>
      <c r="C49" s="94">
        <f ca="1">TblProd[[#This Row],[Platinum]]</f>
        <v>127701</v>
      </c>
      <c r="D49" s="94">
        <f ca="1">TblProd[[#This Row],[Lumber]]</f>
        <v>45923</v>
      </c>
      <c r="E49" s="94">
        <f ca="1">TblProd[[#This Row],[Ore]]</f>
        <v>0</v>
      </c>
      <c r="F49" s="94">
        <f ca="1">TblProd[[#This Row],[Gems]]</f>
        <v>0</v>
      </c>
      <c r="G49" s="154"/>
      <c r="H49" s="94">
        <f ca="1">TblMili[[#This Row],[Draftees]]</f>
        <v>439</v>
      </c>
      <c r="I49" s="180">
        <f ca="1">TblPop[[#This Row],[Employment]]</f>
        <v>1</v>
      </c>
      <c r="J49" s="180">
        <f ca="1">TblPop[[#This Row],[Total]]/TblPop[[#This Row],[Net max]]</f>
        <v>1</v>
      </c>
      <c r="K49" s="283">
        <f>TblRezone[[#This Row],[Hour]]</f>
        <v>46</v>
      </c>
      <c r="L49" s="284">
        <f ca="1">TblImps[[#This Row],[Real time]]</f>
        <v>46103.624999999891</v>
      </c>
      <c r="M49" s="61">
        <f>IF(ISERROR(TblImps[[#This Row],[algorithm]]),0,TblImps[[#This Row],[algorithm]]*1)</f>
        <v>0</v>
      </c>
      <c r="N49" s="94">
        <f ca="1">TblImps[[#This Row],[Land]]</f>
        <v>110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57">
        <f ca="1">IF(OFFSET(TblMagic[[#This Row],[Active Alchemists Flame]],-1,0)&gt;0,TblConstr[[#This Row],[Tot Alc]]*alchemist_flame_invest,0)</f>
        <v>0</v>
      </c>
      <c r="BL49" s="142"/>
      <c r="BM4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9" s="142"/>
      <c r="BR4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9" s="142"/>
      <c r="BW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9" s="61">
        <f>TblImps[[#This Row],[Login]]</f>
        <v>0</v>
      </c>
      <c r="BY49" s="137"/>
      <c r="BZ49" s="293">
        <f ca="1">OFFSET(TblImps[[#This Row],[Real time]],-1,0)+1/24</f>
        <v>46103.624999999891</v>
      </c>
      <c r="CA49" s="294">
        <f ca="1">OFFSET(TblImps[[#This Row],[Servertime]],-1,0)+1/24</f>
        <v>46103.874999999891</v>
      </c>
      <c r="CB49" s="57"/>
      <c r="CC49" s="292"/>
      <c r="CD49" s="292"/>
    </row>
    <row r="50" spans="1:82" x14ac:dyDescent="0.2">
      <c r="A50" s="214">
        <f ca="1">TblConstr[[#This Row],[Land]]</f>
        <v>110</v>
      </c>
      <c r="B50" s="142"/>
      <c r="C50" s="94">
        <f ca="1">TblProd[[#This Row],[Platinum]]</f>
        <v>129420</v>
      </c>
      <c r="D50" s="94">
        <f ca="1">TblProd[[#This Row],[Lumber]]</f>
        <v>46464</v>
      </c>
      <c r="E50" s="94">
        <f ca="1">TblProd[[#This Row],[Ore]]</f>
        <v>0</v>
      </c>
      <c r="F50" s="94">
        <f ca="1">TblProd[[#This Row],[Gems]]</f>
        <v>0</v>
      </c>
      <c r="G50" s="154"/>
      <c r="H50" s="94">
        <f ca="1">TblMili[[#This Row],[Draftees]]</f>
        <v>445</v>
      </c>
      <c r="I50" s="180">
        <f ca="1">TblPop[[#This Row],[Employment]]</f>
        <v>1</v>
      </c>
      <c r="J50" s="180">
        <f ca="1">TblPop[[#This Row],[Total]]/TblPop[[#This Row],[Net max]]</f>
        <v>1</v>
      </c>
      <c r="K50" s="283">
        <f>TblRezone[[#This Row],[Hour]]</f>
        <v>47</v>
      </c>
      <c r="L50" s="284">
        <f ca="1">TblImps[[#This Row],[Real time]]</f>
        <v>46103.666666666555</v>
      </c>
      <c r="M50" s="61">
        <f>IF(ISERROR(TblImps[[#This Row],[algorithm]]),0,TblImps[[#This Row],[algorithm]]*1)</f>
        <v>0</v>
      </c>
      <c r="N50" s="94">
        <f ca="1">TblImps[[#This Row],[Land]]</f>
        <v>110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57">
        <f ca="1">IF(OFFSET(TblMagic[[#This Row],[Active Alchemists Flame]],-1,0)&gt;0,TblConstr[[#This Row],[Tot Alc]]*alchemist_flame_invest,0)</f>
        <v>0</v>
      </c>
      <c r="BL50" s="142"/>
      <c r="BM5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0" s="142"/>
      <c r="BR5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0" s="142"/>
      <c r="BW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0" s="61">
        <f>TblImps[[#This Row],[Login]]</f>
        <v>0</v>
      </c>
      <c r="BY50" s="137"/>
      <c r="BZ50" s="293">
        <f ca="1">OFFSET(TblImps[[#This Row],[Real time]],-1,0)+1/24</f>
        <v>46103.666666666555</v>
      </c>
      <c r="CA50" s="294">
        <f ca="1">OFFSET(TblImps[[#This Row],[Servertime]],-1,0)+1/24</f>
        <v>46103.916666666555</v>
      </c>
      <c r="CB50" s="57"/>
      <c r="CC50" s="292"/>
      <c r="CD50" s="292"/>
    </row>
    <row r="51" spans="1:82" x14ac:dyDescent="0.2">
      <c r="A51" s="214">
        <f ca="1">TblConstr[[#This Row],[Land]]</f>
        <v>110</v>
      </c>
      <c r="B51" s="142"/>
      <c r="C51" s="94">
        <f ca="1">TblProd[[#This Row],[Platinum]]</f>
        <v>131123</v>
      </c>
      <c r="D51" s="94">
        <f ca="1">TblProd[[#This Row],[Lumber]]</f>
        <v>46999</v>
      </c>
      <c r="E51" s="94">
        <f ca="1">TblProd[[#This Row],[Ore]]</f>
        <v>0</v>
      </c>
      <c r="F51" s="94">
        <f ca="1">TblProd[[#This Row],[Gems]]</f>
        <v>0</v>
      </c>
      <c r="G51" s="154"/>
      <c r="H51" s="94">
        <f ca="1">TblMili[[#This Row],[Draftees]]</f>
        <v>451</v>
      </c>
      <c r="I51" s="180">
        <f ca="1">TblPop[[#This Row],[Employment]]</f>
        <v>1</v>
      </c>
      <c r="J51" s="180">
        <f ca="1">TblPop[[#This Row],[Total]]/TblPop[[#This Row],[Net max]]</f>
        <v>1</v>
      </c>
      <c r="K51" s="283">
        <f>TblRezone[[#This Row],[Hour]]</f>
        <v>48</v>
      </c>
      <c r="L51" s="284">
        <f ca="1">TblImps[[#This Row],[Real time]]</f>
        <v>46103.708333333219</v>
      </c>
      <c r="M51" s="61">
        <f>IF(ISERROR(TblImps[[#This Row],[algorithm]]),0,TblImps[[#This Row],[algorithm]]*1)</f>
        <v>0</v>
      </c>
      <c r="N51" s="94">
        <f ca="1">TblImps[[#This Row],[Land]]</f>
        <v>110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57">
        <f ca="1">IF(OFFSET(TblMagic[[#This Row],[Active Alchemists Flame]],-1,0)&gt;0,TblConstr[[#This Row],[Tot Alc]]*alchemist_flame_invest,0)</f>
        <v>0</v>
      </c>
      <c r="BL51" s="142"/>
      <c r="BM5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1" s="142"/>
      <c r="BR5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1" s="142"/>
      <c r="BW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1" s="61">
        <f>TblImps[[#This Row],[Login]]</f>
        <v>0</v>
      </c>
      <c r="BY51" s="137"/>
      <c r="BZ51" s="293">
        <f ca="1">OFFSET(TblImps[[#This Row],[Real time]],-1,0)+1/24</f>
        <v>46103.708333333219</v>
      </c>
      <c r="CA51" s="294">
        <f ca="1">OFFSET(TblImps[[#This Row],[Servertime]],-1,0)+1/24</f>
        <v>46103.958333333219</v>
      </c>
      <c r="CB51" s="57"/>
      <c r="CC51" s="292"/>
      <c r="CD51" s="292"/>
    </row>
    <row r="52" spans="1:82" x14ac:dyDescent="0.2">
      <c r="A52" s="214">
        <f ca="1">TblConstr[[#This Row],[Land]]</f>
        <v>110</v>
      </c>
      <c r="B52" s="142"/>
      <c r="C52" s="94">
        <f ca="1">TblProd[[#This Row],[Platinum]]</f>
        <v>132810</v>
      </c>
      <c r="D52" s="94">
        <f ca="1">TblProd[[#This Row],[Lumber]]</f>
        <v>47529</v>
      </c>
      <c r="E52" s="94">
        <f ca="1">TblProd[[#This Row],[Ore]]</f>
        <v>0</v>
      </c>
      <c r="F52" s="94">
        <f ca="1">TblProd[[#This Row],[Gems]]</f>
        <v>0</v>
      </c>
      <c r="G52" s="154"/>
      <c r="H52" s="94">
        <f ca="1">TblMili[[#This Row],[Draftees]]</f>
        <v>457</v>
      </c>
      <c r="I52" s="180">
        <f ca="1">TblPop[[#This Row],[Employment]]</f>
        <v>1</v>
      </c>
      <c r="J52" s="180">
        <f ca="1">TblPop[[#This Row],[Total]]/TblPop[[#This Row],[Net max]]</f>
        <v>1</v>
      </c>
      <c r="K52" s="283">
        <f>TblRezone[[#This Row],[Hour]]</f>
        <v>49</v>
      </c>
      <c r="L52" s="284">
        <f ca="1">TblImps[[#This Row],[Real time]]</f>
        <v>46103.749999999884</v>
      </c>
      <c r="M52" s="61">
        <f>IF(ISERROR(TblImps[[#This Row],[algorithm]]),0,TblImps[[#This Row],[algorithm]]*1)</f>
        <v>0</v>
      </c>
      <c r="N52" s="94">
        <f ca="1">TblImps[[#This Row],[Land]]</f>
        <v>110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57">
        <f ca="1">IF(OFFSET(TblMagic[[#This Row],[Active Alchemists Flame]],-1,0)&gt;0,TblConstr[[#This Row],[Tot Alc]]*alchemist_flame_invest,0)</f>
        <v>0</v>
      </c>
      <c r="BL52" s="142"/>
      <c r="BM5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2" s="142"/>
      <c r="BR5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2" s="142"/>
      <c r="BW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2" s="61">
        <f>TblImps[[#This Row],[Login]]</f>
        <v>0</v>
      </c>
      <c r="BY52" s="137"/>
      <c r="BZ52" s="293">
        <f ca="1">OFFSET(TblImps[[#This Row],[Real time]],-1,0)+1/24</f>
        <v>46103.749999999884</v>
      </c>
      <c r="CA52" s="294">
        <f ca="1">OFFSET(TblImps[[#This Row],[Servertime]],-1,0)+1/24</f>
        <v>46103.999999999884</v>
      </c>
      <c r="CB52" s="57"/>
      <c r="CC52" s="292"/>
      <c r="CD52" s="292"/>
    </row>
    <row r="53" spans="1:82" x14ac:dyDescent="0.2">
      <c r="A53" s="214">
        <f ca="1">TblConstr[[#This Row],[Land]]</f>
        <v>110</v>
      </c>
      <c r="B53" s="142"/>
      <c r="C53" s="94">
        <f ca="1">TblProd[[#This Row],[Platinum]]</f>
        <v>134481</v>
      </c>
      <c r="D53" s="94">
        <f ca="1">TblProd[[#This Row],[Lumber]]</f>
        <v>48054</v>
      </c>
      <c r="E53" s="94">
        <f ca="1">TblProd[[#This Row],[Ore]]</f>
        <v>0</v>
      </c>
      <c r="F53" s="94">
        <f ca="1">TblProd[[#This Row],[Gems]]</f>
        <v>0</v>
      </c>
      <c r="G53" s="154"/>
      <c r="H53" s="94">
        <f ca="1">TblMili[[#This Row],[Draftees]]</f>
        <v>463</v>
      </c>
      <c r="I53" s="180">
        <f ca="1">TblPop[[#This Row],[Employment]]</f>
        <v>1</v>
      </c>
      <c r="J53" s="180">
        <f ca="1">TblPop[[#This Row],[Total]]/TblPop[[#This Row],[Net max]]</f>
        <v>1</v>
      </c>
      <c r="K53" s="283">
        <f>TblRezone[[#This Row],[Hour]]</f>
        <v>50</v>
      </c>
      <c r="L53" s="284">
        <f ca="1">TblImps[[#This Row],[Real time]]</f>
        <v>46103.791666666548</v>
      </c>
      <c r="M53" s="61">
        <f>IF(ISERROR(TblImps[[#This Row],[algorithm]]),0,TblImps[[#This Row],[algorithm]]*1)</f>
        <v>0</v>
      </c>
      <c r="N53" s="94">
        <f ca="1">TblImps[[#This Row],[Land]]</f>
        <v>110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57">
        <f ca="1">IF(OFFSET(TblMagic[[#This Row],[Active Alchemists Flame]],-1,0)&gt;0,TblConstr[[#This Row],[Tot Alc]]*alchemist_flame_invest,0)</f>
        <v>0</v>
      </c>
      <c r="BL53" s="142"/>
      <c r="BM5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3" s="142"/>
      <c r="BR5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3" s="142"/>
      <c r="BW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3" s="61">
        <f>TblImps[[#This Row],[Login]]</f>
        <v>0</v>
      </c>
      <c r="BY53" s="137"/>
      <c r="BZ53" s="293">
        <f ca="1">OFFSET(TblImps[[#This Row],[Real time]],-1,0)+1/24</f>
        <v>46103.791666666548</v>
      </c>
      <c r="CA53" s="294">
        <f ca="1">OFFSET(TblImps[[#This Row],[Servertime]],-1,0)+1/24</f>
        <v>46104.041666666548</v>
      </c>
      <c r="CB53" s="57"/>
      <c r="CC53" s="292"/>
      <c r="CD53" s="292"/>
    </row>
    <row r="54" spans="1:82" x14ac:dyDescent="0.2">
      <c r="A54" s="214">
        <f ca="1">TblConstr[[#This Row],[Land]]</f>
        <v>110</v>
      </c>
      <c r="B54" s="142"/>
      <c r="C54" s="94">
        <f ca="1">TblProd[[#This Row],[Platinum]]</f>
        <v>136136</v>
      </c>
      <c r="D54" s="94">
        <f ca="1">TblProd[[#This Row],[Lumber]]</f>
        <v>48573</v>
      </c>
      <c r="E54" s="94">
        <f ca="1">TblProd[[#This Row],[Ore]]</f>
        <v>0</v>
      </c>
      <c r="F54" s="94">
        <f ca="1">TblProd[[#This Row],[Gems]]</f>
        <v>0</v>
      </c>
      <c r="G54" s="154"/>
      <c r="H54" s="94">
        <f ca="1">TblMili[[#This Row],[Draftees]]</f>
        <v>469</v>
      </c>
      <c r="I54" s="180">
        <f ca="1">TblPop[[#This Row],[Employment]]</f>
        <v>1</v>
      </c>
      <c r="J54" s="180">
        <f ca="1">TblPop[[#This Row],[Total]]/TblPop[[#This Row],[Net max]]</f>
        <v>1</v>
      </c>
      <c r="K54" s="283">
        <f>TblRezone[[#This Row],[Hour]]</f>
        <v>51</v>
      </c>
      <c r="L54" s="284">
        <f ca="1">TblImps[[#This Row],[Real time]]</f>
        <v>46103.833333333212</v>
      </c>
      <c r="M54" s="61">
        <f>IF(ISERROR(TblImps[[#This Row],[algorithm]]),0,TblImps[[#This Row],[algorithm]]*1)</f>
        <v>0</v>
      </c>
      <c r="N54" s="94">
        <f ca="1">TblImps[[#This Row],[Land]]</f>
        <v>110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57">
        <f ca="1">IF(OFFSET(TblMagic[[#This Row],[Active Alchemists Flame]],-1,0)&gt;0,TblConstr[[#This Row],[Tot Alc]]*alchemist_flame_invest,0)</f>
        <v>0</v>
      </c>
      <c r="BL54" s="142"/>
      <c r="BM5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4" s="142"/>
      <c r="BR5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4" s="142"/>
      <c r="BW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4" s="61">
        <f>TblImps[[#This Row],[Login]]</f>
        <v>0</v>
      </c>
      <c r="BY54" s="137"/>
      <c r="BZ54" s="293">
        <f ca="1">OFFSET(TblImps[[#This Row],[Real time]],-1,0)+1/24</f>
        <v>46103.833333333212</v>
      </c>
      <c r="CA54" s="294">
        <f ca="1">OFFSET(TblImps[[#This Row],[Servertime]],-1,0)+1/24</f>
        <v>46104.083333333212</v>
      </c>
      <c r="CB54" s="57"/>
      <c r="CC54" s="292"/>
      <c r="CD54" s="292"/>
    </row>
    <row r="55" spans="1:82" x14ac:dyDescent="0.2">
      <c r="A55" s="214">
        <f ca="1">TblConstr[[#This Row],[Land]]</f>
        <v>110</v>
      </c>
      <c r="B55" s="142"/>
      <c r="C55" s="94">
        <f ca="1">TblProd[[#This Row],[Platinum]]</f>
        <v>137774</v>
      </c>
      <c r="D55" s="94">
        <f ca="1">TblProd[[#This Row],[Lumber]]</f>
        <v>49087</v>
      </c>
      <c r="E55" s="94">
        <f ca="1">TblProd[[#This Row],[Ore]]</f>
        <v>0</v>
      </c>
      <c r="F55" s="94">
        <f ca="1">TblProd[[#This Row],[Gems]]</f>
        <v>0</v>
      </c>
      <c r="G55" s="154"/>
      <c r="H55" s="94">
        <f ca="1">TblMili[[#This Row],[Draftees]]</f>
        <v>475</v>
      </c>
      <c r="I55" s="180">
        <f ca="1">TblPop[[#This Row],[Employment]]</f>
        <v>1</v>
      </c>
      <c r="J55" s="180">
        <f ca="1">TblPop[[#This Row],[Total]]/TblPop[[#This Row],[Net max]]</f>
        <v>1</v>
      </c>
      <c r="K55" s="283">
        <f>TblRezone[[#This Row],[Hour]]</f>
        <v>52</v>
      </c>
      <c r="L55" s="284">
        <f ca="1">TblImps[[#This Row],[Real time]]</f>
        <v>46103.874999999876</v>
      </c>
      <c r="M55" s="61">
        <f>IF(ISERROR(TblImps[[#This Row],[algorithm]]),0,TblImps[[#This Row],[algorithm]]*1)</f>
        <v>0</v>
      </c>
      <c r="N55" s="94">
        <f ca="1">TblImps[[#This Row],[Land]]</f>
        <v>110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57">
        <f ca="1">IF(OFFSET(TblMagic[[#This Row],[Active Alchemists Flame]],-1,0)&gt;0,TblConstr[[#This Row],[Tot Alc]]*alchemist_flame_invest,0)</f>
        <v>0</v>
      </c>
      <c r="BL55" s="142"/>
      <c r="BM5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5" s="142"/>
      <c r="BR5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5" s="142"/>
      <c r="BW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5" s="61">
        <f>TblImps[[#This Row],[Login]]</f>
        <v>0</v>
      </c>
      <c r="BY55" s="137"/>
      <c r="BZ55" s="293">
        <f ca="1">OFFSET(TblImps[[#This Row],[Real time]],-1,0)+1/24</f>
        <v>46103.874999999876</v>
      </c>
      <c r="CA55" s="294">
        <f ca="1">OFFSET(TblImps[[#This Row],[Servertime]],-1,0)+1/24</f>
        <v>46104.124999999876</v>
      </c>
      <c r="CB55" s="57"/>
      <c r="CC55" s="292"/>
      <c r="CD55" s="292"/>
    </row>
    <row r="56" spans="1:82" x14ac:dyDescent="0.2">
      <c r="A56" s="214">
        <f ca="1">TblConstr[[#This Row],[Land]]</f>
        <v>110</v>
      </c>
      <c r="B56" s="142"/>
      <c r="C56" s="94">
        <f ca="1">TblProd[[#This Row],[Platinum]]</f>
        <v>139396</v>
      </c>
      <c r="D56" s="94">
        <f ca="1">TblProd[[#This Row],[Lumber]]</f>
        <v>49596</v>
      </c>
      <c r="E56" s="94">
        <f ca="1">TblProd[[#This Row],[Ore]]</f>
        <v>0</v>
      </c>
      <c r="F56" s="94">
        <f ca="1">TblProd[[#This Row],[Gems]]</f>
        <v>0</v>
      </c>
      <c r="G56" s="154"/>
      <c r="H56" s="94">
        <f ca="1">TblMili[[#This Row],[Draftees]]</f>
        <v>481</v>
      </c>
      <c r="I56" s="180">
        <f ca="1">TblPop[[#This Row],[Employment]]</f>
        <v>1</v>
      </c>
      <c r="J56" s="180">
        <f ca="1">TblPop[[#This Row],[Total]]/TblPop[[#This Row],[Net max]]</f>
        <v>1</v>
      </c>
      <c r="K56" s="283">
        <f>TblRezone[[#This Row],[Hour]]</f>
        <v>53</v>
      </c>
      <c r="L56" s="284">
        <f ca="1">TblImps[[#This Row],[Real time]]</f>
        <v>46103.916666666541</v>
      </c>
      <c r="M56" s="61">
        <f>IF(ISERROR(TblImps[[#This Row],[algorithm]]),0,TblImps[[#This Row],[algorithm]]*1)</f>
        <v>0</v>
      </c>
      <c r="N56" s="94">
        <f ca="1">TblImps[[#This Row],[Land]]</f>
        <v>110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57">
        <f ca="1">IF(OFFSET(TblMagic[[#This Row],[Active Alchemists Flame]],-1,0)&gt;0,TblConstr[[#This Row],[Tot Alc]]*alchemist_flame_invest,0)</f>
        <v>0</v>
      </c>
      <c r="BL56" s="142"/>
      <c r="BM5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6" s="142"/>
      <c r="BR5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6" s="142"/>
      <c r="BW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6" s="61">
        <f>TblImps[[#This Row],[Login]]</f>
        <v>0</v>
      </c>
      <c r="BY56" s="137"/>
      <c r="BZ56" s="293">
        <f ca="1">OFFSET(TblImps[[#This Row],[Real time]],-1,0)+1/24</f>
        <v>46103.916666666541</v>
      </c>
      <c r="CA56" s="294">
        <f ca="1">OFFSET(TblImps[[#This Row],[Servertime]],-1,0)+1/24</f>
        <v>46104.166666666541</v>
      </c>
      <c r="CB56" s="57"/>
      <c r="CC56" s="292"/>
      <c r="CD56" s="292"/>
    </row>
    <row r="57" spans="1:82" x14ac:dyDescent="0.2">
      <c r="A57" s="214">
        <f ca="1">TblConstr[[#This Row],[Land]]</f>
        <v>110</v>
      </c>
      <c r="B57" s="142"/>
      <c r="C57" s="94">
        <f ca="1">TblProd[[#This Row],[Platinum]]</f>
        <v>141002</v>
      </c>
      <c r="D57" s="94">
        <f ca="1">TblProd[[#This Row],[Lumber]]</f>
        <v>50100</v>
      </c>
      <c r="E57" s="94">
        <f ca="1">TblProd[[#This Row],[Ore]]</f>
        <v>0</v>
      </c>
      <c r="F57" s="94">
        <f ca="1">TblProd[[#This Row],[Gems]]</f>
        <v>0</v>
      </c>
      <c r="G57" s="154"/>
      <c r="H57" s="94">
        <f ca="1">TblMili[[#This Row],[Draftees]]</f>
        <v>487</v>
      </c>
      <c r="I57" s="180">
        <f ca="1">TblPop[[#This Row],[Employment]]</f>
        <v>1</v>
      </c>
      <c r="J57" s="180">
        <f ca="1">TblPop[[#This Row],[Total]]/TblPop[[#This Row],[Net max]]</f>
        <v>1</v>
      </c>
      <c r="K57" s="283">
        <f>TblRezone[[#This Row],[Hour]]</f>
        <v>54</v>
      </c>
      <c r="L57" s="284">
        <f ca="1">TblImps[[#This Row],[Real time]]</f>
        <v>46103.958333333205</v>
      </c>
      <c r="M57" s="61">
        <f>IF(ISERROR(TblImps[[#This Row],[algorithm]]),0,TblImps[[#This Row],[algorithm]]*1)</f>
        <v>0</v>
      </c>
      <c r="N57" s="94">
        <f ca="1">TblImps[[#This Row],[Land]]</f>
        <v>110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57">
        <f ca="1">IF(OFFSET(TblMagic[[#This Row],[Active Alchemists Flame]],-1,0)&gt;0,TblConstr[[#This Row],[Tot Alc]]*alchemist_flame_invest,0)</f>
        <v>0</v>
      </c>
      <c r="BL57" s="142"/>
      <c r="BM5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7" s="142"/>
      <c r="BR5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7" s="142"/>
      <c r="BW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7" s="61">
        <f>TblImps[[#This Row],[Login]]</f>
        <v>0</v>
      </c>
      <c r="BY57" s="137"/>
      <c r="BZ57" s="293">
        <f ca="1">OFFSET(TblImps[[#This Row],[Real time]],-1,0)+1/24</f>
        <v>46103.958333333205</v>
      </c>
      <c r="CA57" s="294">
        <f ca="1">OFFSET(TblImps[[#This Row],[Servertime]],-1,0)+1/24</f>
        <v>46104.208333333205</v>
      </c>
      <c r="CB57" s="57"/>
      <c r="CC57" s="292"/>
      <c r="CD57" s="292"/>
    </row>
    <row r="58" spans="1:82" x14ac:dyDescent="0.2">
      <c r="A58" s="214">
        <f ca="1">TblConstr[[#This Row],[Land]]</f>
        <v>110</v>
      </c>
      <c r="B58" s="142"/>
      <c r="C58" s="94">
        <f ca="1">TblProd[[#This Row],[Platinum]]</f>
        <v>142592</v>
      </c>
      <c r="D58" s="94">
        <f ca="1">TblProd[[#This Row],[Lumber]]</f>
        <v>50599</v>
      </c>
      <c r="E58" s="94">
        <f ca="1">TblProd[[#This Row],[Ore]]</f>
        <v>0</v>
      </c>
      <c r="F58" s="94">
        <f ca="1">TblProd[[#This Row],[Gems]]</f>
        <v>0</v>
      </c>
      <c r="G58" s="154"/>
      <c r="H58" s="94">
        <f ca="1">TblMili[[#This Row],[Draftees]]</f>
        <v>493</v>
      </c>
      <c r="I58" s="180">
        <f ca="1">TblPop[[#This Row],[Employment]]</f>
        <v>1</v>
      </c>
      <c r="J58" s="180">
        <f ca="1">TblPop[[#This Row],[Total]]/TblPop[[#This Row],[Net max]]</f>
        <v>1</v>
      </c>
      <c r="K58" s="283">
        <f>TblRezone[[#This Row],[Hour]]</f>
        <v>55</v>
      </c>
      <c r="L58" s="284">
        <f ca="1">TblImps[[#This Row],[Real time]]</f>
        <v>46103.999999999869</v>
      </c>
      <c r="M58" s="61">
        <f>IF(ISERROR(TblImps[[#This Row],[algorithm]]),0,TblImps[[#This Row],[algorithm]]*1)</f>
        <v>0</v>
      </c>
      <c r="N58" s="94">
        <f ca="1">TblImps[[#This Row],[Land]]</f>
        <v>110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57">
        <f ca="1">IF(OFFSET(TblMagic[[#This Row],[Active Alchemists Flame]],-1,0)&gt;0,TblConstr[[#This Row],[Tot Alc]]*alchemist_flame_invest,0)</f>
        <v>0</v>
      </c>
      <c r="BL58" s="142"/>
      <c r="BM5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8" s="142"/>
      <c r="BR5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8" s="142"/>
      <c r="BW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8" s="61">
        <f>TblImps[[#This Row],[Login]]</f>
        <v>0</v>
      </c>
      <c r="BY58" s="137"/>
      <c r="BZ58" s="293">
        <f ca="1">OFFSET(TblImps[[#This Row],[Real time]],-1,0)+1/24</f>
        <v>46103.999999999869</v>
      </c>
      <c r="CA58" s="294">
        <f ca="1">OFFSET(TblImps[[#This Row],[Servertime]],-1,0)+1/24</f>
        <v>46104.249999999869</v>
      </c>
      <c r="CB58" s="57"/>
      <c r="CC58" s="292"/>
      <c r="CD58" s="292"/>
    </row>
    <row r="59" spans="1:82" x14ac:dyDescent="0.2">
      <c r="A59" s="214">
        <f ca="1">TblConstr[[#This Row],[Land]]</f>
        <v>110</v>
      </c>
      <c r="B59" s="142"/>
      <c r="C59" s="94">
        <f ca="1">TblProd[[#This Row],[Platinum]]</f>
        <v>144166</v>
      </c>
      <c r="D59" s="94">
        <f ca="1">TblProd[[#This Row],[Lumber]]</f>
        <v>51093</v>
      </c>
      <c r="E59" s="94">
        <f ca="1">TblProd[[#This Row],[Ore]]</f>
        <v>0</v>
      </c>
      <c r="F59" s="94">
        <f ca="1">TblProd[[#This Row],[Gems]]</f>
        <v>0</v>
      </c>
      <c r="G59" s="154"/>
      <c r="H59" s="94">
        <f ca="1">TblMili[[#This Row],[Draftees]]</f>
        <v>499</v>
      </c>
      <c r="I59" s="180">
        <f ca="1">TblPop[[#This Row],[Employment]]</f>
        <v>1</v>
      </c>
      <c r="J59" s="180">
        <f ca="1">TblPop[[#This Row],[Total]]/TblPop[[#This Row],[Net max]]</f>
        <v>1</v>
      </c>
      <c r="K59" s="283">
        <f>TblRezone[[#This Row],[Hour]]</f>
        <v>56</v>
      </c>
      <c r="L59" s="284">
        <f ca="1">TblImps[[#This Row],[Real time]]</f>
        <v>46104.041666666533</v>
      </c>
      <c r="M59" s="61">
        <f>IF(ISERROR(TblImps[[#This Row],[algorithm]]),0,TblImps[[#This Row],[algorithm]]*1)</f>
        <v>0</v>
      </c>
      <c r="N59" s="94">
        <f ca="1">TblImps[[#This Row],[Land]]</f>
        <v>110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57">
        <f ca="1">IF(OFFSET(TblMagic[[#This Row],[Active Alchemists Flame]],-1,0)&gt;0,TblConstr[[#This Row],[Tot Alc]]*alchemist_flame_invest,0)</f>
        <v>0</v>
      </c>
      <c r="BL59" s="142"/>
      <c r="BM5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9" s="142"/>
      <c r="BR5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9" s="142"/>
      <c r="BW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9" s="61">
        <f>TblImps[[#This Row],[Login]]</f>
        <v>0</v>
      </c>
      <c r="BY59" s="137"/>
      <c r="BZ59" s="293">
        <f ca="1">OFFSET(TblImps[[#This Row],[Real time]],-1,0)+1/24</f>
        <v>46104.041666666533</v>
      </c>
      <c r="CA59" s="294">
        <f ca="1">OFFSET(TblImps[[#This Row],[Servertime]],-1,0)+1/24</f>
        <v>46104.291666666533</v>
      </c>
      <c r="CB59" s="57"/>
      <c r="CC59" s="292"/>
      <c r="CD59" s="292"/>
    </row>
    <row r="60" spans="1:82" x14ac:dyDescent="0.2">
      <c r="A60" s="214">
        <f ca="1">TblConstr[[#This Row],[Land]]</f>
        <v>110</v>
      </c>
      <c r="B60" s="142"/>
      <c r="C60" s="94">
        <f ca="1">TblProd[[#This Row],[Platinum]]</f>
        <v>145723</v>
      </c>
      <c r="D60" s="94">
        <f ca="1">TblProd[[#This Row],[Lumber]]</f>
        <v>51582</v>
      </c>
      <c r="E60" s="94">
        <f ca="1">TblProd[[#This Row],[Ore]]</f>
        <v>0</v>
      </c>
      <c r="F60" s="94">
        <f ca="1">TblProd[[#This Row],[Gems]]</f>
        <v>0</v>
      </c>
      <c r="G60" s="154"/>
      <c r="H60" s="94">
        <f ca="1">TblMili[[#This Row],[Draftees]]</f>
        <v>505</v>
      </c>
      <c r="I60" s="180">
        <f ca="1">TblPop[[#This Row],[Employment]]</f>
        <v>1</v>
      </c>
      <c r="J60" s="180">
        <f ca="1">TblPop[[#This Row],[Total]]/TblPop[[#This Row],[Net max]]</f>
        <v>1</v>
      </c>
      <c r="K60" s="283">
        <f>TblRezone[[#This Row],[Hour]]</f>
        <v>57</v>
      </c>
      <c r="L60" s="284">
        <f ca="1">TblImps[[#This Row],[Real time]]</f>
        <v>46104.083333333198</v>
      </c>
      <c r="M60" s="61">
        <f>IF(ISERROR(TblImps[[#This Row],[algorithm]]),0,TblImps[[#This Row],[algorithm]]*1)</f>
        <v>0</v>
      </c>
      <c r="N60" s="94">
        <f ca="1">TblImps[[#This Row],[Land]]</f>
        <v>110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57">
        <f ca="1">IF(OFFSET(TblMagic[[#This Row],[Active Alchemists Flame]],-1,0)&gt;0,TblConstr[[#This Row],[Tot Alc]]*alchemist_flame_invest,0)</f>
        <v>0</v>
      </c>
      <c r="BL60" s="142"/>
      <c r="BM6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0" s="142"/>
      <c r="BR6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0" s="142"/>
      <c r="BW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0" s="61">
        <f>TblImps[[#This Row],[Login]]</f>
        <v>0</v>
      </c>
      <c r="BY60" s="137"/>
      <c r="BZ60" s="293">
        <f ca="1">OFFSET(TblImps[[#This Row],[Real time]],-1,0)+1/24</f>
        <v>46104.083333333198</v>
      </c>
      <c r="CA60" s="294">
        <f ca="1">OFFSET(TblImps[[#This Row],[Servertime]],-1,0)+1/24</f>
        <v>46104.333333333198</v>
      </c>
      <c r="CB60" s="57"/>
      <c r="CC60" s="292"/>
      <c r="CD60" s="292"/>
    </row>
    <row r="61" spans="1:82" x14ac:dyDescent="0.2">
      <c r="A61" s="214">
        <f ca="1">TblConstr[[#This Row],[Land]]</f>
        <v>110</v>
      </c>
      <c r="B61" s="142"/>
      <c r="C61" s="94">
        <f ca="1">TblProd[[#This Row],[Platinum]]</f>
        <v>147264</v>
      </c>
      <c r="D61" s="94">
        <f ca="1">TblProd[[#This Row],[Lumber]]</f>
        <v>52066</v>
      </c>
      <c r="E61" s="94">
        <f ca="1">TblProd[[#This Row],[Ore]]</f>
        <v>0</v>
      </c>
      <c r="F61" s="94">
        <f ca="1">TblProd[[#This Row],[Gems]]</f>
        <v>0</v>
      </c>
      <c r="G61" s="154"/>
      <c r="H61" s="94">
        <f ca="1">TblMili[[#This Row],[Draftees]]</f>
        <v>511</v>
      </c>
      <c r="I61" s="180">
        <f ca="1">TblPop[[#This Row],[Employment]]</f>
        <v>1</v>
      </c>
      <c r="J61" s="180">
        <f ca="1">TblPop[[#This Row],[Total]]/TblPop[[#This Row],[Net max]]</f>
        <v>1</v>
      </c>
      <c r="K61" s="283">
        <f>TblRezone[[#This Row],[Hour]]</f>
        <v>58</v>
      </c>
      <c r="L61" s="284">
        <f ca="1">TblImps[[#This Row],[Real time]]</f>
        <v>46104.124999999862</v>
      </c>
      <c r="M61" s="61">
        <f>IF(ISERROR(TblImps[[#This Row],[algorithm]]),0,TblImps[[#This Row],[algorithm]]*1)</f>
        <v>0</v>
      </c>
      <c r="N61" s="94">
        <f ca="1">TblImps[[#This Row],[Land]]</f>
        <v>110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57">
        <f ca="1">IF(OFFSET(TblMagic[[#This Row],[Active Alchemists Flame]],-1,0)&gt;0,TblConstr[[#This Row],[Tot Alc]]*alchemist_flame_invest,0)</f>
        <v>0</v>
      </c>
      <c r="BL61" s="142"/>
      <c r="BM6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1" s="142"/>
      <c r="BR6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1" s="142"/>
      <c r="BW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1" s="61">
        <f>TblImps[[#This Row],[Login]]</f>
        <v>0</v>
      </c>
      <c r="BY61" s="137"/>
      <c r="BZ61" s="293">
        <f ca="1">OFFSET(TblImps[[#This Row],[Real time]],-1,0)+1/24</f>
        <v>46104.124999999862</v>
      </c>
      <c r="CA61" s="294">
        <f ca="1">OFFSET(TblImps[[#This Row],[Servertime]],-1,0)+1/24</f>
        <v>46104.374999999862</v>
      </c>
      <c r="CB61" s="57"/>
      <c r="CC61" s="292"/>
      <c r="CD61" s="292"/>
    </row>
    <row r="62" spans="1:82" x14ac:dyDescent="0.2">
      <c r="A62" s="214">
        <f ca="1">TblConstr[[#This Row],[Land]]</f>
        <v>110</v>
      </c>
      <c r="B62" s="142"/>
      <c r="C62" s="94">
        <f ca="1">TblProd[[#This Row],[Platinum]]</f>
        <v>148789</v>
      </c>
      <c r="D62" s="94">
        <f ca="1">TblProd[[#This Row],[Lumber]]</f>
        <v>52545</v>
      </c>
      <c r="E62" s="94">
        <f ca="1">TblProd[[#This Row],[Ore]]</f>
        <v>0</v>
      </c>
      <c r="F62" s="94">
        <f ca="1">TblProd[[#This Row],[Gems]]</f>
        <v>0</v>
      </c>
      <c r="G62" s="154"/>
      <c r="H62" s="94">
        <f ca="1">TblMili[[#This Row],[Draftees]]</f>
        <v>517</v>
      </c>
      <c r="I62" s="180">
        <f ca="1">TblPop[[#This Row],[Employment]]</f>
        <v>1</v>
      </c>
      <c r="J62" s="180">
        <f ca="1">TblPop[[#This Row],[Total]]/TblPop[[#This Row],[Net max]]</f>
        <v>1</v>
      </c>
      <c r="K62" s="283">
        <f>TblRezone[[#This Row],[Hour]]</f>
        <v>59</v>
      </c>
      <c r="L62" s="284">
        <f ca="1">TblImps[[#This Row],[Real time]]</f>
        <v>46104.166666666526</v>
      </c>
      <c r="M62" s="61">
        <f>IF(ISERROR(TblImps[[#This Row],[algorithm]]),0,TblImps[[#This Row],[algorithm]]*1)</f>
        <v>0</v>
      </c>
      <c r="N62" s="94">
        <f ca="1">TblImps[[#This Row],[Land]]</f>
        <v>110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57">
        <f ca="1">IF(OFFSET(TblMagic[[#This Row],[Active Alchemists Flame]],-1,0)&gt;0,TblConstr[[#This Row],[Tot Alc]]*alchemist_flame_invest,0)</f>
        <v>0</v>
      </c>
      <c r="BL62" s="142"/>
      <c r="BM6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2" s="142"/>
      <c r="BR6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2" s="142"/>
      <c r="BW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2" s="61">
        <f>TblImps[[#This Row],[Login]]</f>
        <v>0</v>
      </c>
      <c r="BY62" s="137"/>
      <c r="BZ62" s="293">
        <f ca="1">OFFSET(TblImps[[#This Row],[Real time]],-1,0)+1/24</f>
        <v>46104.166666666526</v>
      </c>
      <c r="CA62" s="294">
        <f ca="1">OFFSET(TblImps[[#This Row],[Servertime]],-1,0)+1/24</f>
        <v>46104.416666666526</v>
      </c>
      <c r="CB62" s="57"/>
      <c r="CC62" s="292"/>
      <c r="CD62" s="292"/>
    </row>
    <row r="63" spans="1:82" x14ac:dyDescent="0.2">
      <c r="A63" s="214">
        <f ca="1">TblConstr[[#This Row],[Land]]</f>
        <v>110</v>
      </c>
      <c r="B63" s="142"/>
      <c r="C63" s="94">
        <f ca="1">TblProd[[#This Row],[Platinum]]</f>
        <v>150298</v>
      </c>
      <c r="D63" s="94">
        <f ca="1">TblProd[[#This Row],[Lumber]]</f>
        <v>53020</v>
      </c>
      <c r="E63" s="94">
        <f ca="1">TblProd[[#This Row],[Ore]]</f>
        <v>0</v>
      </c>
      <c r="F63" s="94">
        <f ca="1">TblProd[[#This Row],[Gems]]</f>
        <v>0</v>
      </c>
      <c r="G63" s="154"/>
      <c r="H63" s="94">
        <f ca="1">TblMili[[#This Row],[Draftees]]</f>
        <v>523</v>
      </c>
      <c r="I63" s="180">
        <f ca="1">TblPop[[#This Row],[Employment]]</f>
        <v>1</v>
      </c>
      <c r="J63" s="180">
        <f ca="1">TblPop[[#This Row],[Total]]/TblPop[[#This Row],[Net max]]</f>
        <v>1</v>
      </c>
      <c r="K63" s="283">
        <f>TblRezone[[#This Row],[Hour]]</f>
        <v>60</v>
      </c>
      <c r="L63" s="284">
        <f ca="1">TblImps[[#This Row],[Real time]]</f>
        <v>46104.20833333319</v>
      </c>
      <c r="M63" s="61">
        <f>IF(ISERROR(TblImps[[#This Row],[algorithm]]),0,TblImps[[#This Row],[algorithm]]*1)</f>
        <v>0</v>
      </c>
      <c r="N63" s="94">
        <f ca="1">TblImps[[#This Row],[Land]]</f>
        <v>110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57">
        <f ca="1">IF(OFFSET(TblMagic[[#This Row],[Active Alchemists Flame]],-1,0)&gt;0,TblConstr[[#This Row],[Tot Alc]]*alchemist_flame_invest,0)</f>
        <v>0</v>
      </c>
      <c r="BL63" s="142"/>
      <c r="BM6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3" s="142"/>
      <c r="BR6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3" s="142"/>
      <c r="BW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3" s="61">
        <f>TblImps[[#This Row],[Login]]</f>
        <v>0</v>
      </c>
      <c r="BY63" s="137"/>
      <c r="BZ63" s="293">
        <f ca="1">OFFSET(TblImps[[#This Row],[Real time]],-1,0)+1/24</f>
        <v>46104.20833333319</v>
      </c>
      <c r="CA63" s="294">
        <f ca="1">OFFSET(TblImps[[#This Row],[Servertime]],-1,0)+1/24</f>
        <v>46104.45833333319</v>
      </c>
      <c r="CB63" s="57"/>
      <c r="CC63" s="292"/>
      <c r="CD63" s="292"/>
    </row>
    <row r="64" spans="1:82" x14ac:dyDescent="0.2">
      <c r="A64" s="214">
        <f ca="1">TblConstr[[#This Row],[Land]]</f>
        <v>110</v>
      </c>
      <c r="B64" s="142"/>
      <c r="C64" s="94">
        <f ca="1">TblProd[[#This Row],[Platinum]]</f>
        <v>151791</v>
      </c>
      <c r="D64" s="94">
        <f ca="1">TblProd[[#This Row],[Lumber]]</f>
        <v>53490</v>
      </c>
      <c r="E64" s="94">
        <f ca="1">TblProd[[#This Row],[Ore]]</f>
        <v>0</v>
      </c>
      <c r="F64" s="94">
        <f ca="1">TblProd[[#This Row],[Gems]]</f>
        <v>0</v>
      </c>
      <c r="G64" s="154"/>
      <c r="H64" s="94">
        <f ca="1">TblMili[[#This Row],[Draftees]]</f>
        <v>529</v>
      </c>
      <c r="I64" s="180">
        <f ca="1">TblPop[[#This Row],[Employment]]</f>
        <v>1</v>
      </c>
      <c r="J64" s="180">
        <f ca="1">TblPop[[#This Row],[Total]]/TblPop[[#This Row],[Net max]]</f>
        <v>1</v>
      </c>
      <c r="K64" s="283">
        <f>TblRezone[[#This Row],[Hour]]</f>
        <v>61</v>
      </c>
      <c r="L64" s="284">
        <f ca="1">TblImps[[#This Row],[Real time]]</f>
        <v>46104.249999999854</v>
      </c>
      <c r="M64" s="61">
        <f>IF(ISERROR(TblImps[[#This Row],[algorithm]]),0,TblImps[[#This Row],[algorithm]]*1)</f>
        <v>0</v>
      </c>
      <c r="N64" s="94">
        <f ca="1">TblImps[[#This Row],[Land]]</f>
        <v>110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57">
        <f ca="1">IF(OFFSET(TblMagic[[#This Row],[Active Alchemists Flame]],-1,0)&gt;0,TblConstr[[#This Row],[Tot Alc]]*alchemist_flame_invest,0)</f>
        <v>0</v>
      </c>
      <c r="BL64" s="142"/>
      <c r="BM6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4" s="142"/>
      <c r="BR6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4" s="142"/>
      <c r="BW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4" s="61">
        <f>TblImps[[#This Row],[Login]]</f>
        <v>0</v>
      </c>
      <c r="BY64" s="137"/>
      <c r="BZ64" s="293">
        <f ca="1">OFFSET(TblImps[[#This Row],[Real time]],-1,0)+1/24</f>
        <v>46104.249999999854</v>
      </c>
      <c r="CA64" s="294">
        <f ca="1">OFFSET(TblImps[[#This Row],[Servertime]],-1,0)+1/24</f>
        <v>46104.499999999854</v>
      </c>
      <c r="CB64" s="57"/>
      <c r="CC64" s="292"/>
      <c r="CD64" s="292"/>
    </row>
    <row r="65" spans="1:85" x14ac:dyDescent="0.2">
      <c r="A65" s="214">
        <f ca="1">TblConstr[[#This Row],[Land]]</f>
        <v>110</v>
      </c>
      <c r="B65" s="142"/>
      <c r="C65" s="94">
        <f ca="1">TblProd[[#This Row],[Platinum]]</f>
        <v>153267</v>
      </c>
      <c r="D65" s="94">
        <f ca="1">TblProd[[#This Row],[Lumber]]</f>
        <v>53955</v>
      </c>
      <c r="E65" s="94">
        <f ca="1">TblProd[[#This Row],[Ore]]</f>
        <v>0</v>
      </c>
      <c r="F65" s="94">
        <f ca="1">TblProd[[#This Row],[Gems]]</f>
        <v>0</v>
      </c>
      <c r="G65" s="154"/>
      <c r="H65" s="94">
        <f ca="1">TblMili[[#This Row],[Draftees]]</f>
        <v>534</v>
      </c>
      <c r="I65" s="180">
        <f ca="1">TblPop[[#This Row],[Employment]]</f>
        <v>1</v>
      </c>
      <c r="J65" s="180">
        <f ca="1">TblPop[[#This Row],[Total]]/TblPop[[#This Row],[Net max]]</f>
        <v>1</v>
      </c>
      <c r="K65" s="283">
        <f>TblRezone[[#This Row],[Hour]]</f>
        <v>62</v>
      </c>
      <c r="L65" s="284">
        <f ca="1">TblImps[[#This Row],[Real time]]</f>
        <v>46104.291666666519</v>
      </c>
      <c r="M65" s="61">
        <f>IF(ISERROR(TblImps[[#This Row],[algorithm]]),0,TblImps[[#This Row],[algorithm]]*1)</f>
        <v>0</v>
      </c>
      <c r="N65" s="94">
        <f ca="1">TblImps[[#This Row],[Land]]</f>
        <v>110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57">
        <f ca="1">IF(OFFSET(TblMagic[[#This Row],[Active Alchemists Flame]],-1,0)&gt;0,TblConstr[[#This Row],[Tot Alc]]*alchemist_flame_invest,0)</f>
        <v>0</v>
      </c>
      <c r="BL65" s="142"/>
      <c r="BM6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5" s="142"/>
      <c r="BR6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5" s="142"/>
      <c r="BW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5" s="61">
        <f>TblImps[[#This Row],[Login]]</f>
        <v>0</v>
      </c>
      <c r="BY65" s="137"/>
      <c r="BZ65" s="293">
        <f ca="1">OFFSET(TblImps[[#This Row],[Real time]],-1,0)+1/24</f>
        <v>46104.291666666519</v>
      </c>
      <c r="CA65" s="294">
        <f ca="1">OFFSET(TblImps[[#This Row],[Servertime]],-1,0)+1/24</f>
        <v>46104.541666666519</v>
      </c>
      <c r="CB65" s="57"/>
      <c r="CC65" s="292"/>
      <c r="CD65" s="292"/>
    </row>
    <row r="66" spans="1:85" x14ac:dyDescent="0.2">
      <c r="A66" s="214">
        <f ca="1">TblConstr[[#This Row],[Land]]</f>
        <v>110</v>
      </c>
      <c r="B66" s="142"/>
      <c r="C66" s="94">
        <f ca="1">TblProd[[#This Row],[Platinum]]</f>
        <v>154730</v>
      </c>
      <c r="D66" s="94">
        <f ca="1">TblProd[[#This Row],[Lumber]]</f>
        <v>54415</v>
      </c>
      <c r="E66" s="94">
        <f ca="1">TblProd[[#This Row],[Ore]]</f>
        <v>0</v>
      </c>
      <c r="F66" s="94">
        <f ca="1">TblProd[[#This Row],[Gems]]</f>
        <v>0</v>
      </c>
      <c r="G66" s="154"/>
      <c r="H66" s="94">
        <f ca="1">TblMili[[#This Row],[Draftees]]</f>
        <v>539</v>
      </c>
      <c r="I66" s="180">
        <f ca="1">TblPop[[#This Row],[Employment]]</f>
        <v>1</v>
      </c>
      <c r="J66" s="180">
        <f ca="1">TblPop[[#This Row],[Total]]/TblPop[[#This Row],[Net max]]</f>
        <v>1</v>
      </c>
      <c r="K66" s="283">
        <f>TblRezone[[#This Row],[Hour]]</f>
        <v>63</v>
      </c>
      <c r="L66" s="284">
        <f ca="1">TblImps[[#This Row],[Real time]]</f>
        <v>46104.333333333183</v>
      </c>
      <c r="M66" s="61">
        <f>IF(ISERROR(TblImps[[#This Row],[algorithm]]),0,TblImps[[#This Row],[algorithm]]*1)</f>
        <v>0</v>
      </c>
      <c r="N66" s="94">
        <f ca="1">TblImps[[#This Row],[Land]]</f>
        <v>110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57">
        <f ca="1">IF(OFFSET(TblMagic[[#This Row],[Active Alchemists Flame]],-1,0)&gt;0,TblConstr[[#This Row],[Tot Alc]]*alchemist_flame_invest,0)</f>
        <v>0</v>
      </c>
      <c r="BL66" s="142"/>
      <c r="BM6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6" s="142"/>
      <c r="BR6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6" s="142"/>
      <c r="BW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6" s="61">
        <f>TblImps[[#This Row],[Login]]</f>
        <v>0</v>
      </c>
      <c r="BY66" s="137"/>
      <c r="BZ66" s="293">
        <f ca="1">OFFSET(TblImps[[#This Row],[Real time]],-1,0)+1/24</f>
        <v>46104.333333333183</v>
      </c>
      <c r="CA66" s="294">
        <f ca="1">OFFSET(TblImps[[#This Row],[Servertime]],-1,0)+1/24</f>
        <v>46104.583333333183</v>
      </c>
      <c r="CB66" s="297"/>
      <c r="CC66" s="292"/>
      <c r="CD66" s="292"/>
    </row>
    <row r="67" spans="1:85" x14ac:dyDescent="0.2">
      <c r="A67" s="214">
        <f ca="1">TblConstr[[#This Row],[Land]]</f>
        <v>110</v>
      </c>
      <c r="B67" s="142"/>
      <c r="C67" s="94">
        <f ca="1">TblProd[[#This Row],[Platinum]]</f>
        <v>156179</v>
      </c>
      <c r="D67" s="94">
        <f ca="1">TblProd[[#This Row],[Lumber]]</f>
        <v>54871</v>
      </c>
      <c r="E67" s="94">
        <f ca="1">TblProd[[#This Row],[Ore]]</f>
        <v>0</v>
      </c>
      <c r="F67" s="94">
        <f ca="1">TblProd[[#This Row],[Gems]]</f>
        <v>0</v>
      </c>
      <c r="G67" s="154"/>
      <c r="H67" s="94">
        <f ca="1">TblMili[[#This Row],[Draftees]]</f>
        <v>544</v>
      </c>
      <c r="I67" s="180">
        <f ca="1">TblPop[[#This Row],[Employment]]</f>
        <v>1</v>
      </c>
      <c r="J67" s="180">
        <f ca="1">TblPop[[#This Row],[Total]]/TblPop[[#This Row],[Net max]]</f>
        <v>1</v>
      </c>
      <c r="K67" s="283">
        <f>TblRezone[[#This Row],[Hour]]</f>
        <v>64</v>
      </c>
      <c r="L67" s="284">
        <f ca="1">TblImps[[#This Row],[Real time]]</f>
        <v>46104.374999999847</v>
      </c>
      <c r="M67" s="61">
        <f>IF(ISERROR(TblImps[[#This Row],[algorithm]]),0,TblImps[[#This Row],[algorithm]]*1)</f>
        <v>0</v>
      </c>
      <c r="N67" s="94">
        <f ca="1">TblImps[[#This Row],[Land]]</f>
        <v>110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57">
        <f ca="1">IF(OFFSET(TblMagic[[#This Row],[Active Alchemists Flame]],-1,0)&gt;0,TblConstr[[#This Row],[Tot Alc]]*alchemist_flame_invest,0)</f>
        <v>0</v>
      </c>
      <c r="BL67" s="142"/>
      <c r="BM6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7" s="142"/>
      <c r="BR6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7" s="142"/>
      <c r="BW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7" s="61">
        <f>TblImps[[#This Row],[Login]]</f>
        <v>0</v>
      </c>
      <c r="BY67" s="137"/>
      <c r="BZ67" s="293">
        <f ca="1">OFFSET(TblImps[[#This Row],[Real time]],-1,0)+1/24</f>
        <v>46104.374999999847</v>
      </c>
      <c r="CA67" s="294">
        <f ca="1">OFFSET(TblImps[[#This Row],[Servertime]],-1,0)+1/24</f>
        <v>46104.624999999847</v>
      </c>
      <c r="CB67" s="57"/>
      <c r="CC67" s="292"/>
      <c r="CD67" s="292"/>
    </row>
    <row r="68" spans="1:85" x14ac:dyDescent="0.2">
      <c r="A68" s="214">
        <f ca="1">TblConstr[[#This Row],[Land]]</f>
        <v>110</v>
      </c>
      <c r="B68" s="142"/>
      <c r="C68" s="94">
        <f ca="1">TblProd[[#This Row],[Platinum]]</f>
        <v>157615</v>
      </c>
      <c r="D68" s="94">
        <f ca="1">TblProd[[#This Row],[Lumber]]</f>
        <v>55322</v>
      </c>
      <c r="E68" s="94">
        <f ca="1">TblProd[[#This Row],[Ore]]</f>
        <v>0</v>
      </c>
      <c r="F68" s="94">
        <f ca="1">TblProd[[#This Row],[Gems]]</f>
        <v>0</v>
      </c>
      <c r="G68" s="154"/>
      <c r="H68" s="94">
        <f ca="1">TblMili[[#This Row],[Draftees]]</f>
        <v>549</v>
      </c>
      <c r="I68" s="180">
        <f ca="1">TblPop[[#This Row],[Employment]]</f>
        <v>1</v>
      </c>
      <c r="J68" s="180">
        <f ca="1">TblPop[[#This Row],[Total]]/TblPop[[#This Row],[Net max]]</f>
        <v>1</v>
      </c>
      <c r="K68" s="283">
        <f>TblRezone[[#This Row],[Hour]]</f>
        <v>65</v>
      </c>
      <c r="L68" s="284">
        <f ca="1">TblImps[[#This Row],[Real time]]</f>
        <v>46104.416666666511</v>
      </c>
      <c r="M68" s="61">
        <f>IF(ISERROR(TblImps[[#This Row],[algorithm]]),0,TblImps[[#This Row],[algorithm]]*1)</f>
        <v>0</v>
      </c>
      <c r="N68" s="94">
        <f ca="1">TblImps[[#This Row],[Land]]</f>
        <v>110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57">
        <f ca="1">IF(OFFSET(TblMagic[[#This Row],[Active Alchemists Flame]],-1,0)&gt;0,TblConstr[[#This Row],[Tot Alc]]*alchemist_flame_invest,0)</f>
        <v>0</v>
      </c>
      <c r="BL68" s="142"/>
      <c r="BM6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8" s="142"/>
      <c r="BR6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8" s="142"/>
      <c r="BW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8" s="61">
        <f>TblImps[[#This Row],[Login]]</f>
        <v>0</v>
      </c>
      <c r="BY68" s="137"/>
      <c r="BZ68" s="293">
        <f ca="1">OFFSET(TblImps[[#This Row],[Real time]],-1,0)+1/24</f>
        <v>46104.416666666511</v>
      </c>
      <c r="CA68" s="294">
        <f ca="1">OFFSET(TblImps[[#This Row],[Servertime]],-1,0)+1/24</f>
        <v>46104.666666666511</v>
      </c>
      <c r="CB68" s="57"/>
      <c r="CC68" s="292"/>
      <c r="CD68" s="292"/>
    </row>
    <row r="69" spans="1:85" x14ac:dyDescent="0.2">
      <c r="A69" s="214">
        <f ca="1">TblConstr[[#This Row],[Land]]</f>
        <v>110</v>
      </c>
      <c r="B69" s="142"/>
      <c r="C69" s="94">
        <f ca="1">TblProd[[#This Row],[Platinum]]</f>
        <v>159037</v>
      </c>
      <c r="D69" s="94">
        <f ca="1">TblProd[[#This Row],[Lumber]]</f>
        <v>55769</v>
      </c>
      <c r="E69" s="94">
        <f ca="1">TblProd[[#This Row],[Ore]]</f>
        <v>0</v>
      </c>
      <c r="F69" s="94">
        <f ca="1">TblProd[[#This Row],[Gems]]</f>
        <v>0</v>
      </c>
      <c r="G69" s="154"/>
      <c r="H69" s="94">
        <f ca="1">TblMili[[#This Row],[Draftees]]</f>
        <v>554</v>
      </c>
      <c r="I69" s="180">
        <f ca="1">TblPop[[#This Row],[Employment]]</f>
        <v>1</v>
      </c>
      <c r="J69" s="180">
        <f ca="1">TblPop[[#This Row],[Total]]/TblPop[[#This Row],[Net max]]</f>
        <v>1</v>
      </c>
      <c r="K69" s="283">
        <f>TblRezone[[#This Row],[Hour]]</f>
        <v>66</v>
      </c>
      <c r="L69" s="284">
        <f ca="1">TblImps[[#This Row],[Real time]]</f>
        <v>46104.458333333176</v>
      </c>
      <c r="M69" s="61">
        <f>IF(ISERROR(TblImps[[#This Row],[algorithm]]),0,TblImps[[#This Row],[algorithm]]*1)</f>
        <v>0</v>
      </c>
      <c r="N69" s="94">
        <f ca="1">TblImps[[#This Row],[Land]]</f>
        <v>110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57">
        <f ca="1">IF(OFFSET(TblMagic[[#This Row],[Active Alchemists Flame]],-1,0)&gt;0,TblConstr[[#This Row],[Tot Alc]]*alchemist_flame_invest,0)</f>
        <v>0</v>
      </c>
      <c r="BL69" s="142"/>
      <c r="BM6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9" s="142"/>
      <c r="BR6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9" s="142"/>
      <c r="BW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9" s="61">
        <f>TblImps[[#This Row],[Login]]</f>
        <v>0</v>
      </c>
      <c r="BY69" s="137"/>
      <c r="BZ69" s="293">
        <f ca="1">OFFSET(TblImps[[#This Row],[Real time]],-1,0)+1/24</f>
        <v>46104.458333333176</v>
      </c>
      <c r="CA69" s="294">
        <f ca="1">OFFSET(TblImps[[#This Row],[Servertime]],-1,0)+1/24</f>
        <v>46104.708333333176</v>
      </c>
      <c r="CB69" s="57"/>
      <c r="CC69" s="292"/>
      <c r="CD69" s="292"/>
    </row>
    <row r="70" spans="1:85" x14ac:dyDescent="0.2">
      <c r="A70" s="214">
        <f ca="1">TblConstr[[#This Row],[Land]]</f>
        <v>110</v>
      </c>
      <c r="B70" s="142"/>
      <c r="C70" s="94">
        <f ca="1">TblProd[[#This Row],[Platinum]]</f>
        <v>160446</v>
      </c>
      <c r="D70" s="94">
        <f ca="1">TblProd[[#This Row],[Lumber]]</f>
        <v>56211</v>
      </c>
      <c r="E70" s="94">
        <f ca="1">TblProd[[#This Row],[Ore]]</f>
        <v>0</v>
      </c>
      <c r="F70" s="94">
        <f ca="1">TblProd[[#This Row],[Gems]]</f>
        <v>0</v>
      </c>
      <c r="G70" s="154"/>
      <c r="H70" s="94">
        <f ca="1">TblMili[[#This Row],[Draftees]]</f>
        <v>559</v>
      </c>
      <c r="I70" s="180">
        <f ca="1">TblPop[[#This Row],[Employment]]</f>
        <v>1</v>
      </c>
      <c r="J70" s="180">
        <f ca="1">TblPop[[#This Row],[Total]]/TblPop[[#This Row],[Net max]]</f>
        <v>1</v>
      </c>
      <c r="K70" s="283">
        <f>TblRezone[[#This Row],[Hour]]</f>
        <v>67</v>
      </c>
      <c r="L70" s="284">
        <f ca="1">TblImps[[#This Row],[Real time]]</f>
        <v>46104.49999999984</v>
      </c>
      <c r="M70" s="61">
        <f>IF(ISERROR(TblImps[[#This Row],[algorithm]]),0,TblImps[[#This Row],[algorithm]]*1)</f>
        <v>0</v>
      </c>
      <c r="N70" s="94">
        <f ca="1">TblImps[[#This Row],[Land]]</f>
        <v>110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57">
        <f ca="1">IF(OFFSET(TblMagic[[#This Row],[Active Alchemists Flame]],-1,0)&gt;0,TblConstr[[#This Row],[Tot Alc]]*alchemist_flame_invest,0)</f>
        <v>0</v>
      </c>
      <c r="BL70" s="142"/>
      <c r="BM7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0" s="142"/>
      <c r="BR7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0" s="142"/>
      <c r="BW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0" s="61">
        <f>TblImps[[#This Row],[Login]]</f>
        <v>0</v>
      </c>
      <c r="BY70" s="137"/>
      <c r="BZ70" s="293">
        <f ca="1">OFFSET(TblImps[[#This Row],[Real time]],-1,0)+1/24</f>
        <v>46104.49999999984</v>
      </c>
      <c r="CA70" s="294">
        <f ca="1">OFFSET(TblImps[[#This Row],[Servertime]],-1,0)+1/24</f>
        <v>46104.74999999984</v>
      </c>
      <c r="CB70" s="57"/>
      <c r="CC70" s="292"/>
      <c r="CD70" s="292"/>
    </row>
    <row r="71" spans="1:85" x14ac:dyDescent="0.2">
      <c r="A71" s="214">
        <f ca="1">TblConstr[[#This Row],[Land]]</f>
        <v>110</v>
      </c>
      <c r="B71" s="142"/>
      <c r="C71" s="94">
        <f ca="1">TblProd[[#This Row],[Platinum]]</f>
        <v>161841</v>
      </c>
      <c r="D71" s="94">
        <f ca="1">TblProd[[#This Row],[Lumber]]</f>
        <v>56649</v>
      </c>
      <c r="E71" s="94">
        <f ca="1">TblProd[[#This Row],[Ore]]</f>
        <v>0</v>
      </c>
      <c r="F71" s="94">
        <f ca="1">TblProd[[#This Row],[Gems]]</f>
        <v>0</v>
      </c>
      <c r="G71" s="154"/>
      <c r="H71" s="94">
        <f ca="1">TblMili[[#This Row],[Draftees]]</f>
        <v>564</v>
      </c>
      <c r="I71" s="180">
        <f ca="1">TblPop[[#This Row],[Employment]]</f>
        <v>1</v>
      </c>
      <c r="J71" s="180">
        <f ca="1">TblPop[[#This Row],[Total]]/TblPop[[#This Row],[Net max]]</f>
        <v>1</v>
      </c>
      <c r="K71" s="283">
        <f>TblRezone[[#This Row],[Hour]]</f>
        <v>68</v>
      </c>
      <c r="L71" s="284">
        <f ca="1">TblImps[[#This Row],[Real time]]</f>
        <v>46104.541666666504</v>
      </c>
      <c r="M71" s="61">
        <f>IF(ISERROR(TblImps[[#This Row],[algorithm]]),0,TblImps[[#This Row],[algorithm]]*1)</f>
        <v>0</v>
      </c>
      <c r="N71" s="94">
        <f ca="1">TblImps[[#This Row],[Land]]</f>
        <v>110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57">
        <f ca="1">IF(OFFSET(TblMagic[[#This Row],[Active Alchemists Flame]],-1,0)&gt;0,TblConstr[[#This Row],[Tot Alc]]*alchemist_flame_invest,0)</f>
        <v>0</v>
      </c>
      <c r="BL71" s="142"/>
      <c r="BM7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1" s="142"/>
      <c r="BR7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1" s="142"/>
      <c r="BW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1" s="61">
        <f>TblImps[[#This Row],[Login]]</f>
        <v>0</v>
      </c>
      <c r="BY71" s="137"/>
      <c r="BZ71" s="293">
        <f ca="1">OFFSET(TblImps[[#This Row],[Real time]],-1,0)+1/24</f>
        <v>46104.541666666504</v>
      </c>
      <c r="CA71" s="294">
        <f ca="1">OFFSET(TblImps[[#This Row],[Servertime]],-1,0)+1/24</f>
        <v>46104.791666666504</v>
      </c>
      <c r="CB71" s="57"/>
      <c r="CC71" s="292"/>
      <c r="CD71" s="292"/>
    </row>
    <row r="72" spans="1:85" x14ac:dyDescent="0.2">
      <c r="A72" s="214">
        <f ca="1">TblConstr[[#This Row],[Land]]</f>
        <v>110</v>
      </c>
      <c r="B72" s="142"/>
      <c r="C72" s="94">
        <f ca="1">TblProd[[#This Row],[Platinum]]</f>
        <v>163223</v>
      </c>
      <c r="D72" s="94">
        <f ca="1">TblProd[[#This Row],[Lumber]]</f>
        <v>57083</v>
      </c>
      <c r="E72" s="94">
        <f ca="1">TblProd[[#This Row],[Ore]]</f>
        <v>0</v>
      </c>
      <c r="F72" s="94">
        <f ca="1">TblProd[[#This Row],[Gems]]</f>
        <v>0</v>
      </c>
      <c r="G72" s="154"/>
      <c r="H72" s="94">
        <f ca="1">TblMili[[#This Row],[Draftees]]</f>
        <v>569</v>
      </c>
      <c r="I72" s="180">
        <f ca="1">TblPop[[#This Row],[Employment]]</f>
        <v>1</v>
      </c>
      <c r="J72" s="180">
        <f ca="1">TblPop[[#This Row],[Total]]/TblPop[[#This Row],[Net max]]</f>
        <v>1</v>
      </c>
      <c r="K72" s="283">
        <f>TblRezone[[#This Row],[Hour]]</f>
        <v>69</v>
      </c>
      <c r="L72" s="284">
        <f ca="1">TblImps[[#This Row],[Real time]]</f>
        <v>46104.583333333168</v>
      </c>
      <c r="M72" s="61">
        <f>IF(ISERROR(TblImps[[#This Row],[algorithm]]),0,TblImps[[#This Row],[algorithm]]*1)</f>
        <v>0</v>
      </c>
      <c r="N72" s="94">
        <f ca="1">TblImps[[#This Row],[Land]]</f>
        <v>110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57">
        <f ca="1">IF(OFFSET(TblMagic[[#This Row],[Active Alchemists Flame]],-1,0)&gt;0,TblConstr[[#This Row],[Tot Alc]]*alchemist_flame_invest,0)</f>
        <v>0</v>
      </c>
      <c r="BL72" s="142"/>
      <c r="BM7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2" s="142"/>
      <c r="BR7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2" s="142"/>
      <c r="BW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2" s="61">
        <f>TblImps[[#This Row],[Login]]</f>
        <v>0</v>
      </c>
      <c r="BY72" s="137"/>
      <c r="BZ72" s="293">
        <f ca="1">OFFSET(TblImps[[#This Row],[Real time]],-1,0)+1/24</f>
        <v>46104.583333333168</v>
      </c>
      <c r="CA72" s="294">
        <f ca="1">OFFSET(TblImps[[#This Row],[Servertime]],-1,0)+1/24</f>
        <v>46104.833333333168</v>
      </c>
      <c r="CB72" s="57"/>
      <c r="CC72" s="292"/>
      <c r="CD72" s="292"/>
    </row>
    <row r="73" spans="1:85" x14ac:dyDescent="0.2">
      <c r="A73" s="214">
        <f ca="1">TblConstr[[#This Row],[Land]]</f>
        <v>110</v>
      </c>
      <c r="B73" s="142"/>
      <c r="C73" s="94">
        <f ca="1">TblProd[[#This Row],[Platinum]]</f>
        <v>164591</v>
      </c>
      <c r="D73" s="94">
        <f ca="1">TblProd[[#This Row],[Lumber]]</f>
        <v>57512</v>
      </c>
      <c r="E73" s="94">
        <f ca="1">TblProd[[#This Row],[Ore]]</f>
        <v>0</v>
      </c>
      <c r="F73" s="94">
        <f ca="1">TblProd[[#This Row],[Gems]]</f>
        <v>0</v>
      </c>
      <c r="G73" s="154"/>
      <c r="H73" s="94">
        <f ca="1">TblMili[[#This Row],[Draftees]]</f>
        <v>574</v>
      </c>
      <c r="I73" s="180">
        <f ca="1">TblPop[[#This Row],[Employment]]</f>
        <v>1</v>
      </c>
      <c r="J73" s="180">
        <f ca="1">TblPop[[#This Row],[Total]]/TblPop[[#This Row],[Net max]]</f>
        <v>1</v>
      </c>
      <c r="K73" s="283">
        <f>TblRezone[[#This Row],[Hour]]</f>
        <v>70</v>
      </c>
      <c r="L73" s="284">
        <f ca="1">TblImps[[#This Row],[Real time]]</f>
        <v>46104.624999999833</v>
      </c>
      <c r="M73" s="61">
        <f>IF(ISERROR(TblImps[[#This Row],[algorithm]]),0,TblImps[[#This Row],[algorithm]]*1)</f>
        <v>0</v>
      </c>
      <c r="N73" s="94">
        <f ca="1">TblImps[[#This Row],[Land]]</f>
        <v>110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57">
        <f ca="1">IF(OFFSET(TblMagic[[#This Row],[Active Alchemists Flame]],-1,0)&gt;0,TblConstr[[#This Row],[Tot Alc]]*alchemist_flame_invest,0)</f>
        <v>0</v>
      </c>
      <c r="BL73" s="142"/>
      <c r="BM7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3" s="142"/>
      <c r="BR7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3" s="142"/>
      <c r="BW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3" s="61">
        <f>TblImps[[#This Row],[Login]]</f>
        <v>0</v>
      </c>
      <c r="BY73" s="137"/>
      <c r="BZ73" s="293">
        <f ca="1">OFFSET(TblImps[[#This Row],[Real time]],-1,0)+1/24</f>
        <v>46104.624999999833</v>
      </c>
      <c r="CA73" s="294">
        <f ca="1">OFFSET(TblImps[[#This Row],[Servertime]],-1,0)+1/24</f>
        <v>46104.874999999833</v>
      </c>
      <c r="CB73" s="57"/>
      <c r="CC73" s="292"/>
      <c r="CD73" s="292"/>
    </row>
    <row r="74" spans="1:85" x14ac:dyDescent="0.2">
      <c r="A74" s="214">
        <f ca="1">TblConstr[[#This Row],[Land]]</f>
        <v>110</v>
      </c>
      <c r="B74" s="142"/>
      <c r="C74" s="94">
        <f ca="1">TblProd[[#This Row],[Platinum]]</f>
        <v>165946</v>
      </c>
      <c r="D74" s="94">
        <f ca="1">TblProd[[#This Row],[Lumber]]</f>
        <v>57937</v>
      </c>
      <c r="E74" s="94">
        <f ca="1">TblProd[[#This Row],[Ore]]</f>
        <v>0</v>
      </c>
      <c r="F74" s="94">
        <f ca="1">TblProd[[#This Row],[Gems]]</f>
        <v>0</v>
      </c>
      <c r="G74" s="154"/>
      <c r="H74" s="94">
        <f ca="1">TblMili[[#This Row],[Draftees]]</f>
        <v>579</v>
      </c>
      <c r="I74" s="180">
        <f ca="1">TblPop[[#This Row],[Employment]]</f>
        <v>1</v>
      </c>
      <c r="J74" s="180">
        <f ca="1">TblPop[[#This Row],[Total]]/TblPop[[#This Row],[Net max]]</f>
        <v>1</v>
      </c>
      <c r="K74" s="283">
        <f>TblRezone[[#This Row],[Hour]]</f>
        <v>71</v>
      </c>
      <c r="L74" s="284">
        <f ca="1">TblImps[[#This Row],[Real time]]</f>
        <v>46104.666666666497</v>
      </c>
      <c r="M74" s="61">
        <f>IF(ISERROR(TblImps[[#This Row],[algorithm]]),0,TblImps[[#This Row],[algorithm]]*1)</f>
        <v>0</v>
      </c>
      <c r="N74" s="94">
        <f ca="1">TblImps[[#This Row],[Land]]</f>
        <v>110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57">
        <f ca="1">IF(OFFSET(TblMagic[[#This Row],[Active Alchemists Flame]],-1,0)&gt;0,TblConstr[[#This Row],[Tot Alc]]*alchemist_flame_invest,0)</f>
        <v>0</v>
      </c>
      <c r="BL74" s="142"/>
      <c r="BM7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4" s="142"/>
      <c r="BR7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4" s="142"/>
      <c r="BW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4" s="61">
        <f>TblImps[[#This Row],[Login]]</f>
        <v>0</v>
      </c>
      <c r="BY74" s="137"/>
      <c r="BZ74" s="293">
        <f ca="1">OFFSET(TblImps[[#This Row],[Real time]],-1,0)+1/24</f>
        <v>46104.666666666497</v>
      </c>
      <c r="CA74" s="294">
        <f ca="1">OFFSET(TblImps[[#This Row],[Servertime]],-1,0)+1/24</f>
        <v>46104.916666666497</v>
      </c>
      <c r="CB74" s="57"/>
      <c r="CC74" s="292"/>
      <c r="CD74" s="292"/>
    </row>
    <row r="75" spans="1:85" x14ac:dyDescent="0.2">
      <c r="A75" s="214">
        <f ca="1">TblConstr[[#This Row],[Land]]</f>
        <v>110</v>
      </c>
      <c r="B75" s="142"/>
      <c r="C75" s="94">
        <f ca="1">TblProd[[#This Row],[Platinum]]</f>
        <v>167287</v>
      </c>
      <c r="D75" s="94">
        <f ca="1">TblProd[[#This Row],[Lumber]]</f>
        <v>58358</v>
      </c>
      <c r="E75" s="94">
        <f ca="1">TblProd[[#This Row],[Ore]]</f>
        <v>0</v>
      </c>
      <c r="F75" s="94">
        <f ca="1">TblProd[[#This Row],[Gems]]</f>
        <v>0</v>
      </c>
      <c r="G75" s="154"/>
      <c r="H75" s="94">
        <f ca="1">TblMili[[#This Row],[Draftees]]</f>
        <v>584</v>
      </c>
      <c r="I75" s="180">
        <f ca="1">TblPop[[#This Row],[Employment]]</f>
        <v>1</v>
      </c>
      <c r="J75" s="180">
        <f ca="1">TblPop[[#This Row],[Total]]/TblPop[[#This Row],[Net max]]</f>
        <v>1</v>
      </c>
      <c r="K75" s="283">
        <f>TblRezone[[#This Row],[Hour]]</f>
        <v>72</v>
      </c>
      <c r="L75" s="284">
        <f ca="1">TblImps[[#This Row],[Real time]]</f>
        <v>46104.708333333161</v>
      </c>
      <c r="M75" s="61">
        <f>IF(ISERROR(TblImps[[#This Row],[algorithm]]),0,TblImps[[#This Row],[algorithm]]*1)</f>
        <v>0</v>
      </c>
      <c r="N75" s="94">
        <f ca="1">TblImps[[#This Row],[Land]]</f>
        <v>110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57">
        <f ca="1">IF(OFFSET(TblMagic[[#This Row],[Active Alchemists Flame]],-1,0)&gt;0,TblConstr[[#This Row],[Tot Alc]]*alchemist_flame_invest,0)</f>
        <v>0</v>
      </c>
      <c r="BL75" s="142"/>
      <c r="BM7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5" s="142"/>
      <c r="BR7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5" s="142"/>
      <c r="BW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5" s="61">
        <f>TblImps[[#This Row],[Login]]</f>
        <v>0</v>
      </c>
      <c r="BY75" s="137"/>
      <c r="BZ75" s="293">
        <f ca="1">OFFSET(TblImps[[#This Row],[Real time]],-1,0)+1/24</f>
        <v>46104.708333333161</v>
      </c>
      <c r="CA75" s="294">
        <f ca="1">OFFSET(TblImps[[#This Row],[Servertime]],-1,0)+1/24</f>
        <v>46104.958333333161</v>
      </c>
      <c r="CB75" s="57"/>
      <c r="CC75" s="292"/>
      <c r="CD75" s="292"/>
    </row>
    <row r="76" spans="1:85" x14ac:dyDescent="0.2">
      <c r="A76" s="214">
        <f ca="1">TblConstr[[#This Row],[Land]]</f>
        <v>110</v>
      </c>
      <c r="B76" s="142"/>
      <c r="C76" s="430">
        <f ca="1">TblProd[[#This Row],[Platinum]]</f>
        <v>168615</v>
      </c>
      <c r="D76" s="430">
        <f ca="1">TblProd[[#This Row],[Lumber]]</f>
        <v>58774</v>
      </c>
      <c r="E76" s="430">
        <f ca="1">TblProd[[#This Row],[Ore]]</f>
        <v>0</v>
      </c>
      <c r="F76" s="430">
        <f ca="1">TblProd[[#This Row],[Gems]]</f>
        <v>0</v>
      </c>
      <c r="G76" s="154"/>
      <c r="H76" s="430">
        <f ca="1">TblMili[[#This Row],[Draftees]]</f>
        <v>589</v>
      </c>
      <c r="I76" s="429">
        <f ca="1">TblPop[[#This Row],[Employment]]</f>
        <v>1</v>
      </c>
      <c r="J76" s="429">
        <f ca="1">TblPop[[#This Row],[Total]]/TblPop[[#This Row],[Net max]]</f>
        <v>1</v>
      </c>
      <c r="K76" s="283">
        <f>TblRezone[[#This Row],[Hour]]</f>
        <v>73</v>
      </c>
      <c r="L76" s="284">
        <f ca="1">TblImps[[#This Row],[Real time]]</f>
        <v>46104.749999999825</v>
      </c>
      <c r="M76" s="428">
        <f>IF(ISERROR(TblImps[[#This Row],[algorithm]]),0,TblImps[[#This Row],[algorithm]]*1)</f>
        <v>0</v>
      </c>
      <c r="N76" s="430">
        <f ca="1">TblImps[[#This Row],[Land]]</f>
        <v>110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431">
        <f ca="1">IF(OFFSET(TblMagic[[#This Row],[Active Alchemists Flame]],-1,0)&gt;0,TblConstr[[#This Row],[Tot Alc]]*alchemist_flame_invest,0)</f>
        <v>0</v>
      </c>
      <c r="BL76" s="142"/>
      <c r="BM76" s="431">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6" s="431">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6" s="431">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6" s="431">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6" s="142"/>
      <c r="BR76" s="431">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6" s="431">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6" s="431">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6" s="431">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6" s="142"/>
      <c r="BW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6" s="428">
        <f>TblImps[[#This Row],[Login]]</f>
        <v>0</v>
      </c>
      <c r="BY76" s="137"/>
      <c r="BZ76" s="456">
        <f ca="1">OFFSET(TblImps[[#This Row],[Real time]],-1,0)+1/24</f>
        <v>46104.749999999825</v>
      </c>
      <c r="CA76" s="457">
        <f ca="1">OFFSET(TblImps[[#This Row],[Servertime]],-1,0)+1/24</f>
        <v>46104.999999999825</v>
      </c>
    </row>
    <row r="77" spans="1:85" x14ac:dyDescent="0.2">
      <c r="A77" s="214">
        <f ca="1">TblConstr[[#This Row],[Land]]</f>
        <v>110</v>
      </c>
      <c r="B77" s="142"/>
      <c r="C77" s="94">
        <f ca="1">TblProd[[#This Row],[Platinum]]</f>
        <v>169929</v>
      </c>
      <c r="D77" s="94">
        <f ca="1">TblProd[[#This Row],[Lumber]]</f>
        <v>59186</v>
      </c>
      <c r="E77" s="94">
        <f ca="1">TblProd[[#This Row],[Ore]]</f>
        <v>0</v>
      </c>
      <c r="F77" s="94">
        <f ca="1">TblProd[[#This Row],[Gems]]</f>
        <v>0</v>
      </c>
      <c r="G77" s="154"/>
      <c r="H77" s="94">
        <f ca="1">TblMili[[#This Row],[Draftees]]</f>
        <v>594</v>
      </c>
      <c r="I77" s="180">
        <f ca="1">TblPop[[#This Row],[Employment]]</f>
        <v>1</v>
      </c>
      <c r="J77" s="180">
        <f ca="1">TblPop[[#This Row],[Total]]/TblPop[[#This Row],[Net max]]</f>
        <v>1</v>
      </c>
      <c r="K77" s="283">
        <f>TblRezone[[#This Row],[Hour]]</f>
        <v>74</v>
      </c>
      <c r="L77" s="284">
        <f ca="1">TblImps[[#This Row],[Real time]]</f>
        <v>46104.79166666649</v>
      </c>
      <c r="M77" s="61">
        <f>IF(ISERROR(TblImps[[#This Row],[algorithm]]),0,TblImps[[#This Row],[algorithm]]*1)</f>
        <v>0</v>
      </c>
      <c r="N77" s="94">
        <f ca="1">TblImps[[#This Row],[Land]]</f>
        <v>110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57">
        <f ca="1">IF(OFFSET(TblMagic[[#This Row],[Active Alchemists Flame]],-1,0)&gt;0,TblConstr[[#This Row],[Tot Alc]]*alchemist_flame_invest,0)</f>
        <v>0</v>
      </c>
      <c r="BL77" s="142"/>
      <c r="BM7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7" s="142"/>
      <c r="BR7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7" s="142"/>
      <c r="BW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7" s="61">
        <f>TblImps[[#This Row],[Login]]</f>
        <v>0</v>
      </c>
      <c r="BY77" s="137"/>
      <c r="BZ77" s="293">
        <f ca="1">OFFSET(TblImps[[#This Row],[Real time]],-1,0)+1/24</f>
        <v>46104.79166666649</v>
      </c>
      <c r="CA77" s="294">
        <f ca="1">OFFSET(TblImps[[#This Row],[Servertime]],-1,0)+1/24</f>
        <v>46105.04166666649</v>
      </c>
      <c r="CB77" s="57"/>
      <c r="CC77" s="292"/>
      <c r="CD77" s="292"/>
    </row>
    <row r="78" spans="1:85" x14ac:dyDescent="0.2">
      <c r="A78" s="214">
        <f ca="1">TblConstr[[#This Row],[Land]]</f>
        <v>110</v>
      </c>
      <c r="B78" s="142"/>
      <c r="C78" s="94">
        <f ca="1">TblProd[[#This Row],[Platinum]]</f>
        <v>171230</v>
      </c>
      <c r="D78" s="94">
        <f ca="1">TblProd[[#This Row],[Lumber]]</f>
        <v>59594</v>
      </c>
      <c r="E78" s="94">
        <f ca="1">TblProd[[#This Row],[Ore]]</f>
        <v>0</v>
      </c>
      <c r="F78" s="94">
        <f ca="1">TblProd[[#This Row],[Gems]]</f>
        <v>0</v>
      </c>
      <c r="G78" s="154"/>
      <c r="H78" s="94">
        <f ca="1">TblMili[[#This Row],[Draftees]]</f>
        <v>599</v>
      </c>
      <c r="I78" s="180">
        <f ca="1">TblPop[[#This Row],[Employment]]</f>
        <v>1</v>
      </c>
      <c r="J78" s="180">
        <f ca="1">TblPop[[#This Row],[Total]]/TblPop[[#This Row],[Net max]]</f>
        <v>1</v>
      </c>
      <c r="K78" s="283">
        <f>TblRezone[[#This Row],[Hour]]</f>
        <v>75</v>
      </c>
      <c r="L78" s="284">
        <f ca="1">TblImps[[#This Row],[Real time]]</f>
        <v>46104.833333333154</v>
      </c>
      <c r="M78" s="61">
        <f>IF(ISERROR(TblImps[[#This Row],[algorithm]]),0,TblImps[[#This Row],[algorithm]]*1)</f>
        <v>0</v>
      </c>
      <c r="N78" s="94">
        <f ca="1">TblImps[[#This Row],[Land]]</f>
        <v>110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57">
        <f ca="1">IF(OFFSET(TblMagic[[#This Row],[Active Alchemists Flame]],-1,0)&gt;0,TblConstr[[#This Row],[Tot Alc]]*alchemist_flame_invest,0)</f>
        <v>0</v>
      </c>
      <c r="BL78" s="142"/>
      <c r="BM7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8" s="142"/>
      <c r="BR7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8" s="142"/>
      <c r="BW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8" s="61">
        <f>TblImps[[#This Row],[Login]]</f>
        <v>0</v>
      </c>
      <c r="BY78" s="137"/>
      <c r="BZ78" s="293">
        <f ca="1">OFFSET(TblImps[[#This Row],[Real time]],-1,0)+1/24</f>
        <v>46104.833333333154</v>
      </c>
      <c r="CA78" s="294">
        <f ca="1">OFFSET(TblImps[[#This Row],[Servertime]],-1,0)+1/24</f>
        <v>46105.083333333154</v>
      </c>
      <c r="CB78" s="57"/>
      <c r="CC78" s="292"/>
      <c r="CD78" s="292"/>
      <c r="CG78" s="295"/>
    </row>
    <row r="79" spans="1:85" x14ac:dyDescent="0.2">
      <c r="A79" s="214">
        <f ca="1">TblConstr[[#This Row],[Land]]</f>
        <v>110</v>
      </c>
      <c r="B79" s="142"/>
      <c r="C79" s="94">
        <f ca="1">TblProd[[#This Row],[Platinum]]</f>
        <v>172517</v>
      </c>
      <c r="D79" s="94">
        <f ca="1">TblProd[[#This Row],[Lumber]]</f>
        <v>59998</v>
      </c>
      <c r="E79" s="94">
        <f ca="1">TblProd[[#This Row],[Ore]]</f>
        <v>0</v>
      </c>
      <c r="F79" s="94">
        <f ca="1">TblProd[[#This Row],[Gems]]</f>
        <v>0</v>
      </c>
      <c r="G79" s="154"/>
      <c r="H79" s="94">
        <f ca="1">TblMili[[#This Row],[Draftees]]</f>
        <v>604</v>
      </c>
      <c r="I79" s="180">
        <f ca="1">TblPop[[#This Row],[Employment]]</f>
        <v>1</v>
      </c>
      <c r="J79" s="180">
        <f ca="1">TblPop[[#This Row],[Total]]/TblPop[[#This Row],[Net max]]</f>
        <v>1</v>
      </c>
      <c r="K79" s="283">
        <f>TblRezone[[#This Row],[Hour]]</f>
        <v>76</v>
      </c>
      <c r="L79" s="284">
        <f ca="1">TblImps[[#This Row],[Real time]]</f>
        <v>46104.874999999818</v>
      </c>
      <c r="M79" s="61">
        <f>IF(ISERROR(TblImps[[#This Row],[algorithm]]),0,TblImps[[#This Row],[algorithm]]*1)</f>
        <v>0</v>
      </c>
      <c r="N79" s="94">
        <f ca="1">TblImps[[#This Row],[Land]]</f>
        <v>110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57">
        <f ca="1">IF(OFFSET(TblMagic[[#This Row],[Active Alchemists Flame]],-1,0)&gt;0,TblConstr[[#This Row],[Tot Alc]]*alchemist_flame_invest,0)</f>
        <v>0</v>
      </c>
      <c r="BL79" s="142"/>
      <c r="BM7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9" s="142"/>
      <c r="BR7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9" s="142"/>
      <c r="BW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9" s="61">
        <f>TblImps[[#This Row],[Login]]</f>
        <v>0</v>
      </c>
      <c r="BY79" s="137"/>
      <c r="BZ79" s="293">
        <f ca="1">OFFSET(TblImps[[#This Row],[Real time]],-1,0)+1/24</f>
        <v>46104.874999999818</v>
      </c>
      <c r="CA79" s="294">
        <f ca="1">OFFSET(TblImps[[#This Row],[Servertime]],-1,0)+1/24</f>
        <v>46105.124999999818</v>
      </c>
      <c r="CB79" s="57"/>
      <c r="CC79" s="292"/>
      <c r="CD79" s="292"/>
      <c r="CG79" s="296"/>
    </row>
    <row r="80" spans="1:85" x14ac:dyDescent="0.2">
      <c r="A80" s="214">
        <f ca="1">TblConstr[[#This Row],[Land]]</f>
        <v>110</v>
      </c>
      <c r="B80" s="142"/>
      <c r="C80" s="94">
        <f ca="1">TblProd[[#This Row],[Platinum]]</f>
        <v>173791</v>
      </c>
      <c r="D80" s="94">
        <f ca="1">TblProd[[#This Row],[Lumber]]</f>
        <v>60398</v>
      </c>
      <c r="E80" s="94">
        <f ca="1">TblProd[[#This Row],[Ore]]</f>
        <v>0</v>
      </c>
      <c r="F80" s="94">
        <f ca="1">TblProd[[#This Row],[Gems]]</f>
        <v>0</v>
      </c>
      <c r="G80" s="154"/>
      <c r="H80" s="94">
        <f ca="1">TblMili[[#This Row],[Draftees]]</f>
        <v>609</v>
      </c>
      <c r="I80" s="180">
        <f ca="1">TblPop[[#This Row],[Employment]]</f>
        <v>1</v>
      </c>
      <c r="J80" s="180">
        <f ca="1">TblPop[[#This Row],[Total]]/TblPop[[#This Row],[Net max]]</f>
        <v>1</v>
      </c>
      <c r="K80" s="283">
        <f>TblRezone[[#This Row],[Hour]]</f>
        <v>77</v>
      </c>
      <c r="L80" s="284">
        <f ca="1">TblImps[[#This Row],[Real time]]</f>
        <v>46104.916666666482</v>
      </c>
      <c r="M80" s="61">
        <f>IF(ISERROR(TblImps[[#This Row],[algorithm]]),0,TblImps[[#This Row],[algorithm]]*1)</f>
        <v>0</v>
      </c>
      <c r="N80" s="94">
        <f ca="1">TblImps[[#This Row],[Land]]</f>
        <v>110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57">
        <f ca="1">IF(OFFSET(TblMagic[[#This Row],[Active Alchemists Flame]],-1,0)&gt;0,TblConstr[[#This Row],[Tot Alc]]*alchemist_flame_invest,0)</f>
        <v>0</v>
      </c>
      <c r="BL80" s="142"/>
      <c r="BM8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0" s="142"/>
      <c r="BR8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0" s="142"/>
      <c r="BW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0" s="61">
        <f>TblImps[[#This Row],[Login]]</f>
        <v>0</v>
      </c>
      <c r="BY80" s="137"/>
      <c r="BZ80" s="293">
        <f ca="1">OFFSET(TblImps[[#This Row],[Real time]],-1,0)+1/24</f>
        <v>46104.916666666482</v>
      </c>
      <c r="CA80" s="294">
        <f ca="1">OFFSET(TblImps[[#This Row],[Servertime]],-1,0)+1/24</f>
        <v>46105.166666666482</v>
      </c>
      <c r="CB80" s="57"/>
      <c r="CC80" s="292"/>
      <c r="CD80" s="292"/>
      <c r="CG80" s="295"/>
    </row>
    <row r="81" spans="1:85" x14ac:dyDescent="0.2">
      <c r="A81" s="214">
        <f ca="1">TblConstr[[#This Row],[Land]]</f>
        <v>110</v>
      </c>
      <c r="B81" s="142"/>
      <c r="C81" s="94">
        <f ca="1">TblProd[[#This Row],[Platinum]]</f>
        <v>175051</v>
      </c>
      <c r="D81" s="94">
        <f ca="1">TblProd[[#This Row],[Lumber]]</f>
        <v>60794</v>
      </c>
      <c r="E81" s="94">
        <f ca="1">TblProd[[#This Row],[Ore]]</f>
        <v>0</v>
      </c>
      <c r="F81" s="94">
        <f ca="1">TblProd[[#This Row],[Gems]]</f>
        <v>0</v>
      </c>
      <c r="G81" s="154"/>
      <c r="H81" s="94">
        <f ca="1">TblMili[[#This Row],[Draftees]]</f>
        <v>614</v>
      </c>
      <c r="I81" s="180">
        <f ca="1">TblPop[[#This Row],[Employment]]</f>
        <v>1</v>
      </c>
      <c r="J81" s="180">
        <f ca="1">TblPop[[#This Row],[Total]]/TblPop[[#This Row],[Net max]]</f>
        <v>1</v>
      </c>
      <c r="K81" s="283">
        <f>TblRezone[[#This Row],[Hour]]</f>
        <v>78</v>
      </c>
      <c r="L81" s="284">
        <f ca="1">TblImps[[#This Row],[Real time]]</f>
        <v>46104.958333333147</v>
      </c>
      <c r="M81" s="61">
        <f>IF(ISERROR(TblImps[[#This Row],[algorithm]]),0,TblImps[[#This Row],[algorithm]]*1)</f>
        <v>0</v>
      </c>
      <c r="N81" s="94">
        <f ca="1">TblImps[[#This Row],[Land]]</f>
        <v>110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57">
        <f ca="1">IF(OFFSET(TblMagic[[#This Row],[Active Alchemists Flame]],-1,0)&gt;0,TblConstr[[#This Row],[Tot Alc]]*alchemist_flame_invest,0)</f>
        <v>0</v>
      </c>
      <c r="BL81" s="142"/>
      <c r="BM8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1" s="142"/>
      <c r="BR8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1" s="142"/>
      <c r="BW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1" s="61">
        <f>TblImps[[#This Row],[Login]]</f>
        <v>0</v>
      </c>
      <c r="BY81" s="137"/>
      <c r="BZ81" s="293">
        <f ca="1">OFFSET(TblImps[[#This Row],[Real time]],-1,0)+1/24</f>
        <v>46104.958333333147</v>
      </c>
      <c r="CA81" s="294">
        <f ca="1">OFFSET(TblImps[[#This Row],[Servertime]],-1,0)+1/24</f>
        <v>46105.208333333147</v>
      </c>
      <c r="CB81" s="57"/>
      <c r="CC81" s="292"/>
      <c r="CD81" s="292"/>
      <c r="CG81" s="295"/>
    </row>
    <row r="82" spans="1:85" x14ac:dyDescent="0.2">
      <c r="A82" s="214">
        <f ca="1">TblConstr[[#This Row],[Land]]</f>
        <v>110</v>
      </c>
      <c r="B82" s="142"/>
      <c r="C82" s="94">
        <f ca="1">TblProd[[#This Row],[Platinum]]</f>
        <v>176298</v>
      </c>
      <c r="D82" s="94">
        <f ca="1">TblProd[[#This Row],[Lumber]]</f>
        <v>61186</v>
      </c>
      <c r="E82" s="94">
        <f ca="1">TblProd[[#This Row],[Ore]]</f>
        <v>0</v>
      </c>
      <c r="F82" s="94">
        <f ca="1">TblProd[[#This Row],[Gems]]</f>
        <v>0</v>
      </c>
      <c r="G82" s="154"/>
      <c r="H82" s="94">
        <f ca="1">TblMili[[#This Row],[Draftees]]</f>
        <v>619</v>
      </c>
      <c r="I82" s="180">
        <f ca="1">TblPop[[#This Row],[Employment]]</f>
        <v>1</v>
      </c>
      <c r="J82" s="180">
        <f ca="1">TblPop[[#This Row],[Total]]/TblPop[[#This Row],[Net max]]</f>
        <v>1</v>
      </c>
      <c r="K82" s="283">
        <f>TblRezone[[#This Row],[Hour]]</f>
        <v>79</v>
      </c>
      <c r="L82" s="284">
        <f ca="1">TblImps[[#This Row],[Real time]]</f>
        <v>46104.999999999811</v>
      </c>
      <c r="M82" s="61">
        <f>IF(ISERROR(TblImps[[#This Row],[algorithm]]),0,TblImps[[#This Row],[algorithm]]*1)</f>
        <v>0</v>
      </c>
      <c r="N82" s="94">
        <f ca="1">TblImps[[#This Row],[Land]]</f>
        <v>110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57">
        <f ca="1">IF(OFFSET(TblMagic[[#This Row],[Active Alchemists Flame]],-1,0)&gt;0,TblConstr[[#This Row],[Tot Alc]]*alchemist_flame_invest,0)</f>
        <v>0</v>
      </c>
      <c r="BL82" s="142"/>
      <c r="BM8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2" s="142"/>
      <c r="BR8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2" s="142"/>
      <c r="BW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2" s="61">
        <f>TblImps[[#This Row],[Login]]</f>
        <v>0</v>
      </c>
      <c r="BY82" s="137"/>
      <c r="BZ82" s="293">
        <f ca="1">OFFSET(TblImps[[#This Row],[Real time]],-1,0)+1/24</f>
        <v>46104.999999999811</v>
      </c>
      <c r="CA82" s="294">
        <f ca="1">OFFSET(TblImps[[#This Row],[Servertime]],-1,0)+1/24</f>
        <v>46105.249999999811</v>
      </c>
      <c r="CB82" s="57"/>
      <c r="CC82" s="292"/>
      <c r="CD82" s="292"/>
    </row>
    <row r="83" spans="1:85" x14ac:dyDescent="0.2">
      <c r="A83" s="214">
        <f ca="1">TblConstr[[#This Row],[Land]]</f>
        <v>110</v>
      </c>
      <c r="B83" s="142"/>
      <c r="C83" s="94">
        <f ca="1">TblProd[[#This Row],[Platinum]]</f>
        <v>177531</v>
      </c>
      <c r="D83" s="94">
        <f ca="1">TblProd[[#This Row],[Lumber]]</f>
        <v>61574</v>
      </c>
      <c r="E83" s="94">
        <f ca="1">TblProd[[#This Row],[Ore]]</f>
        <v>0</v>
      </c>
      <c r="F83" s="94">
        <f ca="1">TblProd[[#This Row],[Gems]]</f>
        <v>0</v>
      </c>
      <c r="G83" s="154"/>
      <c r="H83" s="94">
        <f ca="1">TblMili[[#This Row],[Draftees]]</f>
        <v>624</v>
      </c>
      <c r="I83" s="180">
        <f ca="1">TblPop[[#This Row],[Employment]]</f>
        <v>1</v>
      </c>
      <c r="J83" s="180">
        <f ca="1">TblPop[[#This Row],[Total]]/TblPop[[#This Row],[Net max]]</f>
        <v>1</v>
      </c>
      <c r="K83" s="283">
        <f>TblRezone[[#This Row],[Hour]]</f>
        <v>80</v>
      </c>
      <c r="L83" s="284">
        <f ca="1">TblImps[[#This Row],[Real time]]</f>
        <v>46105.041666666475</v>
      </c>
      <c r="M83" s="61">
        <f>IF(ISERROR(TblImps[[#This Row],[algorithm]]),0,TblImps[[#This Row],[algorithm]]*1)</f>
        <v>0</v>
      </c>
      <c r="N83" s="94">
        <f ca="1">TblImps[[#This Row],[Land]]</f>
        <v>110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57">
        <f ca="1">IF(OFFSET(TblMagic[[#This Row],[Active Alchemists Flame]],-1,0)&gt;0,TblConstr[[#This Row],[Tot Alc]]*alchemist_flame_invest,0)</f>
        <v>0</v>
      </c>
      <c r="BL83" s="142"/>
      <c r="BM8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3" s="142"/>
      <c r="BR8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3" s="142"/>
      <c r="BW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3" s="61">
        <f>TblImps[[#This Row],[Login]]</f>
        <v>0</v>
      </c>
      <c r="BY83" s="137"/>
      <c r="BZ83" s="293">
        <f ca="1">OFFSET(TblImps[[#This Row],[Real time]],-1,0)+1/24</f>
        <v>46105.041666666475</v>
      </c>
      <c r="CA83" s="294">
        <f ca="1">OFFSET(TblImps[[#This Row],[Servertime]],-1,0)+1/24</f>
        <v>46105.291666666475</v>
      </c>
      <c r="CB83" s="57"/>
      <c r="CC83" s="292"/>
      <c r="CD83" s="292"/>
    </row>
    <row r="84" spans="1:85" x14ac:dyDescent="0.2">
      <c r="A84" s="214">
        <f ca="1">TblConstr[[#This Row],[Land]]</f>
        <v>110</v>
      </c>
      <c r="B84" s="142"/>
      <c r="C84" s="94">
        <f ca="1">TblProd[[#This Row],[Platinum]]</f>
        <v>178751</v>
      </c>
      <c r="D84" s="94">
        <f ca="1">TblProd[[#This Row],[Lumber]]</f>
        <v>61958</v>
      </c>
      <c r="E84" s="94">
        <f ca="1">TblProd[[#This Row],[Ore]]</f>
        <v>0</v>
      </c>
      <c r="F84" s="94">
        <f ca="1">TblProd[[#This Row],[Gems]]</f>
        <v>0</v>
      </c>
      <c r="G84" s="154"/>
      <c r="H84" s="94">
        <f ca="1">TblMili[[#This Row],[Draftees]]</f>
        <v>629</v>
      </c>
      <c r="I84" s="180">
        <f ca="1">TblPop[[#This Row],[Employment]]</f>
        <v>1</v>
      </c>
      <c r="J84" s="180">
        <f ca="1">TblPop[[#This Row],[Total]]/TblPop[[#This Row],[Net max]]</f>
        <v>1</v>
      </c>
      <c r="K84" s="283">
        <f>TblRezone[[#This Row],[Hour]]</f>
        <v>81</v>
      </c>
      <c r="L84" s="284">
        <f ca="1">TblImps[[#This Row],[Real time]]</f>
        <v>46105.083333333139</v>
      </c>
      <c r="M84" s="61">
        <f>IF(ISERROR(TblImps[[#This Row],[algorithm]]),0,TblImps[[#This Row],[algorithm]]*1)</f>
        <v>0</v>
      </c>
      <c r="N84" s="94">
        <f ca="1">TblImps[[#This Row],[Land]]</f>
        <v>110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57">
        <f ca="1">IF(OFFSET(TblMagic[[#This Row],[Active Alchemists Flame]],-1,0)&gt;0,TblConstr[[#This Row],[Tot Alc]]*alchemist_flame_invest,0)</f>
        <v>0</v>
      </c>
      <c r="BL84" s="142"/>
      <c r="BM8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4" s="142"/>
      <c r="BR8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4" s="142"/>
      <c r="BW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4" s="61">
        <f>TblImps[[#This Row],[Login]]</f>
        <v>0</v>
      </c>
      <c r="BY84" s="137"/>
      <c r="BZ84" s="293">
        <f ca="1">OFFSET(TblImps[[#This Row],[Real time]],-1,0)+1/24</f>
        <v>46105.083333333139</v>
      </c>
      <c r="CA84" s="294">
        <f ca="1">OFFSET(TblImps[[#This Row],[Servertime]],-1,0)+1/24</f>
        <v>46105.333333333139</v>
      </c>
      <c r="CB84" s="57"/>
      <c r="CC84" s="292"/>
      <c r="CD84" s="292"/>
    </row>
    <row r="85" spans="1:85" x14ac:dyDescent="0.2">
      <c r="A85" s="214">
        <f ca="1">TblConstr[[#This Row],[Land]]</f>
        <v>110</v>
      </c>
      <c r="B85" s="142"/>
      <c r="C85" s="94">
        <f ca="1">TblProd[[#This Row],[Platinum]]</f>
        <v>179957</v>
      </c>
      <c r="D85" s="94">
        <f ca="1">TblProd[[#This Row],[Lumber]]</f>
        <v>62338</v>
      </c>
      <c r="E85" s="94">
        <f ca="1">TblProd[[#This Row],[Ore]]</f>
        <v>0</v>
      </c>
      <c r="F85" s="94">
        <f ca="1">TblProd[[#This Row],[Gems]]</f>
        <v>0</v>
      </c>
      <c r="G85" s="154"/>
      <c r="H85" s="94">
        <f ca="1">TblMili[[#This Row],[Draftees]]</f>
        <v>633</v>
      </c>
      <c r="I85" s="180">
        <f ca="1">TblPop[[#This Row],[Employment]]</f>
        <v>1</v>
      </c>
      <c r="J85" s="180">
        <f ca="1">TblPop[[#This Row],[Total]]/TblPop[[#This Row],[Net max]]</f>
        <v>1</v>
      </c>
      <c r="K85" s="283">
        <f>TblRezone[[#This Row],[Hour]]</f>
        <v>82</v>
      </c>
      <c r="L85" s="284">
        <f ca="1">TblImps[[#This Row],[Real time]]</f>
        <v>46105.124999999804</v>
      </c>
      <c r="M85" s="61">
        <f>IF(ISERROR(TblImps[[#This Row],[algorithm]]),0,TblImps[[#This Row],[algorithm]]*1)</f>
        <v>0</v>
      </c>
      <c r="N85" s="94">
        <f ca="1">TblImps[[#This Row],[Land]]</f>
        <v>110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57">
        <f ca="1">IF(OFFSET(TblMagic[[#This Row],[Active Alchemists Flame]],-1,0)&gt;0,TblConstr[[#This Row],[Tot Alc]]*alchemist_flame_invest,0)</f>
        <v>0</v>
      </c>
      <c r="BL85" s="142"/>
      <c r="BM8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5" s="142"/>
      <c r="BR8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5" s="142"/>
      <c r="BW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5" s="61">
        <f>TblImps[[#This Row],[Login]]</f>
        <v>0</v>
      </c>
      <c r="BY85" s="137"/>
      <c r="BZ85" s="293">
        <f ca="1">OFFSET(TblImps[[#This Row],[Real time]],-1,0)+1/24</f>
        <v>46105.124999999804</v>
      </c>
      <c r="CA85" s="294">
        <f ca="1">OFFSET(TblImps[[#This Row],[Servertime]],-1,0)+1/24</f>
        <v>46105.374999999804</v>
      </c>
      <c r="CB85" s="57"/>
      <c r="CC85" s="292"/>
      <c r="CD85" s="292"/>
    </row>
    <row r="86" spans="1:85" x14ac:dyDescent="0.2">
      <c r="A86" s="214">
        <f ca="1">TblConstr[[#This Row],[Land]]</f>
        <v>110</v>
      </c>
      <c r="B86" s="142"/>
      <c r="C86" s="94">
        <f ca="1">TblProd[[#This Row],[Platinum]]</f>
        <v>181153</v>
      </c>
      <c r="D86" s="94">
        <f ca="1">TblProd[[#This Row],[Lumber]]</f>
        <v>62715</v>
      </c>
      <c r="E86" s="94">
        <f ca="1">TblProd[[#This Row],[Ore]]</f>
        <v>0</v>
      </c>
      <c r="F86" s="94">
        <f ca="1">TblProd[[#This Row],[Gems]]</f>
        <v>0</v>
      </c>
      <c r="G86" s="154"/>
      <c r="H86" s="94">
        <f ca="1">TblMili[[#This Row],[Draftees]]</f>
        <v>637</v>
      </c>
      <c r="I86" s="180">
        <f ca="1">TblPop[[#This Row],[Employment]]</f>
        <v>1</v>
      </c>
      <c r="J86" s="180">
        <f ca="1">TblPop[[#This Row],[Total]]/TblPop[[#This Row],[Net max]]</f>
        <v>1</v>
      </c>
      <c r="K86" s="283">
        <f>TblRezone[[#This Row],[Hour]]</f>
        <v>83</v>
      </c>
      <c r="L86" s="284">
        <f ca="1">TblImps[[#This Row],[Real time]]</f>
        <v>46105.166666666468</v>
      </c>
      <c r="M86" s="61">
        <f>IF(ISERROR(TblImps[[#This Row],[algorithm]]),0,TblImps[[#This Row],[algorithm]]*1)</f>
        <v>0</v>
      </c>
      <c r="N86" s="94">
        <f ca="1">TblImps[[#This Row],[Land]]</f>
        <v>110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57">
        <f ca="1">IF(OFFSET(TblMagic[[#This Row],[Active Alchemists Flame]],-1,0)&gt;0,TblConstr[[#This Row],[Tot Alc]]*alchemist_flame_invest,0)</f>
        <v>0</v>
      </c>
      <c r="BL86" s="142"/>
      <c r="BM8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6" s="142"/>
      <c r="BR8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6" s="142"/>
      <c r="BW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6" s="61">
        <f>TblImps[[#This Row],[Login]]</f>
        <v>0</v>
      </c>
      <c r="BY86" s="137"/>
      <c r="BZ86" s="293">
        <f ca="1">OFFSET(TblImps[[#This Row],[Real time]],-1,0)+1/24</f>
        <v>46105.166666666468</v>
      </c>
      <c r="CA86" s="294">
        <f ca="1">OFFSET(TblImps[[#This Row],[Servertime]],-1,0)+1/24</f>
        <v>46105.416666666468</v>
      </c>
      <c r="CB86" s="57"/>
      <c r="CC86" s="292"/>
      <c r="CD86" s="292"/>
    </row>
    <row r="87" spans="1:85" x14ac:dyDescent="0.2">
      <c r="A87" s="214">
        <f ca="1">TblConstr[[#This Row],[Land]]</f>
        <v>110</v>
      </c>
      <c r="B87" s="142"/>
      <c r="C87" s="94">
        <f ca="1">TblProd[[#This Row],[Platinum]]</f>
        <v>182338</v>
      </c>
      <c r="D87" s="94">
        <f ca="1">TblProd[[#This Row],[Lumber]]</f>
        <v>63088</v>
      </c>
      <c r="E87" s="94">
        <f ca="1">TblProd[[#This Row],[Ore]]</f>
        <v>0</v>
      </c>
      <c r="F87" s="94">
        <f ca="1">TblProd[[#This Row],[Gems]]</f>
        <v>0</v>
      </c>
      <c r="G87" s="154"/>
      <c r="H87" s="94">
        <f ca="1">TblMili[[#This Row],[Draftees]]</f>
        <v>641</v>
      </c>
      <c r="I87" s="180">
        <f ca="1">TblPop[[#This Row],[Employment]]</f>
        <v>1</v>
      </c>
      <c r="J87" s="180">
        <f ca="1">TblPop[[#This Row],[Total]]/TblPop[[#This Row],[Net max]]</f>
        <v>1</v>
      </c>
      <c r="K87" s="283">
        <f>TblRezone[[#This Row],[Hour]]</f>
        <v>84</v>
      </c>
      <c r="L87" s="284">
        <f ca="1">TblImps[[#This Row],[Real time]]</f>
        <v>46105.208333333132</v>
      </c>
      <c r="M87" s="61">
        <f>IF(ISERROR(TblImps[[#This Row],[algorithm]]),0,TblImps[[#This Row],[algorithm]]*1)</f>
        <v>0</v>
      </c>
      <c r="N87" s="94">
        <f ca="1">TblImps[[#This Row],[Land]]</f>
        <v>110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57">
        <f ca="1">IF(OFFSET(TblMagic[[#This Row],[Active Alchemists Flame]],-1,0)&gt;0,TblConstr[[#This Row],[Tot Alc]]*alchemist_flame_invest,0)</f>
        <v>0</v>
      </c>
      <c r="BL87" s="142"/>
      <c r="BM8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7" s="142"/>
      <c r="BR8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7" s="142"/>
      <c r="BW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7" s="61">
        <f>TblImps[[#This Row],[Login]]</f>
        <v>0</v>
      </c>
      <c r="BY87" s="137"/>
      <c r="BZ87" s="293">
        <f ca="1">OFFSET(TblImps[[#This Row],[Real time]],-1,0)+1/24</f>
        <v>46105.208333333132</v>
      </c>
      <c r="CA87" s="294">
        <f ca="1">OFFSET(TblImps[[#This Row],[Servertime]],-1,0)+1/24</f>
        <v>46105.458333333132</v>
      </c>
      <c r="CB87" s="57"/>
      <c r="CC87" s="292"/>
      <c r="CD87" s="292"/>
    </row>
    <row r="88" spans="1:85" x14ac:dyDescent="0.2">
      <c r="A88" s="214">
        <f ca="1">TblConstr[[#This Row],[Land]]</f>
        <v>110</v>
      </c>
      <c r="B88" s="142"/>
      <c r="C88" s="94">
        <f ca="1">TblProd[[#This Row],[Platinum]]</f>
        <v>183512</v>
      </c>
      <c r="D88" s="94">
        <f ca="1">TblProd[[#This Row],[Lumber]]</f>
        <v>63457</v>
      </c>
      <c r="E88" s="94">
        <f ca="1">TblProd[[#This Row],[Ore]]</f>
        <v>0</v>
      </c>
      <c r="F88" s="94">
        <f ca="1">TblProd[[#This Row],[Gems]]</f>
        <v>0</v>
      </c>
      <c r="G88" s="154"/>
      <c r="H88" s="94">
        <f ca="1">TblMili[[#This Row],[Draftees]]</f>
        <v>645</v>
      </c>
      <c r="I88" s="180">
        <f ca="1">TblPop[[#This Row],[Employment]]</f>
        <v>1</v>
      </c>
      <c r="J88" s="180">
        <f ca="1">TblPop[[#This Row],[Total]]/TblPop[[#This Row],[Net max]]</f>
        <v>1</v>
      </c>
      <c r="K88" s="283">
        <f>TblRezone[[#This Row],[Hour]]</f>
        <v>85</v>
      </c>
      <c r="L88" s="284">
        <f ca="1">TblImps[[#This Row],[Real time]]</f>
        <v>46105.249999999796</v>
      </c>
      <c r="M88" s="61">
        <f>IF(ISERROR(TblImps[[#This Row],[algorithm]]),0,TblImps[[#This Row],[algorithm]]*1)</f>
        <v>0</v>
      </c>
      <c r="N88" s="94">
        <f ca="1">TblImps[[#This Row],[Land]]</f>
        <v>110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57">
        <f ca="1">IF(OFFSET(TblMagic[[#This Row],[Active Alchemists Flame]],-1,0)&gt;0,TblConstr[[#This Row],[Tot Alc]]*alchemist_flame_invest,0)</f>
        <v>0</v>
      </c>
      <c r="BL88" s="142"/>
      <c r="BM8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8" s="142"/>
      <c r="BR8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8" s="142"/>
      <c r="BW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8" s="61">
        <f>TblImps[[#This Row],[Login]]</f>
        <v>0</v>
      </c>
      <c r="BY88" s="137"/>
      <c r="BZ88" s="293">
        <f ca="1">OFFSET(TblImps[[#This Row],[Real time]],-1,0)+1/24</f>
        <v>46105.249999999796</v>
      </c>
      <c r="CA88" s="294">
        <f ca="1">OFFSET(TblImps[[#This Row],[Servertime]],-1,0)+1/24</f>
        <v>46105.499999999796</v>
      </c>
      <c r="CB88" s="57"/>
      <c r="CC88" s="292"/>
      <c r="CD88" s="292"/>
    </row>
    <row r="89" spans="1:85" x14ac:dyDescent="0.2">
      <c r="A89" s="214">
        <f ca="1">TblConstr[[#This Row],[Land]]</f>
        <v>110</v>
      </c>
      <c r="B89" s="142"/>
      <c r="C89" s="94">
        <f ca="1">TblProd[[#This Row],[Platinum]]</f>
        <v>184675</v>
      </c>
      <c r="D89" s="94">
        <f ca="1">TblProd[[#This Row],[Lumber]]</f>
        <v>63822</v>
      </c>
      <c r="E89" s="94">
        <f ca="1">TblProd[[#This Row],[Ore]]</f>
        <v>0</v>
      </c>
      <c r="F89" s="94">
        <f ca="1">TblProd[[#This Row],[Gems]]</f>
        <v>0</v>
      </c>
      <c r="G89" s="154"/>
      <c r="H89" s="94">
        <f ca="1">TblMili[[#This Row],[Draftees]]</f>
        <v>649</v>
      </c>
      <c r="I89" s="180">
        <f ca="1">TblPop[[#This Row],[Employment]]</f>
        <v>1</v>
      </c>
      <c r="J89" s="180">
        <f ca="1">TblPop[[#This Row],[Total]]/TblPop[[#This Row],[Net max]]</f>
        <v>1</v>
      </c>
      <c r="K89" s="283">
        <f>TblRezone[[#This Row],[Hour]]</f>
        <v>86</v>
      </c>
      <c r="L89" s="284">
        <f ca="1">TblImps[[#This Row],[Real time]]</f>
        <v>46105.291666666461</v>
      </c>
      <c r="M89" s="61">
        <f>IF(ISERROR(TblImps[[#This Row],[algorithm]]),0,TblImps[[#This Row],[algorithm]]*1)</f>
        <v>0</v>
      </c>
      <c r="N89" s="94">
        <f ca="1">TblImps[[#This Row],[Land]]</f>
        <v>110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57">
        <f ca="1">IF(OFFSET(TblMagic[[#This Row],[Active Alchemists Flame]],-1,0)&gt;0,TblConstr[[#This Row],[Tot Alc]]*alchemist_flame_invest,0)</f>
        <v>0</v>
      </c>
      <c r="BL89" s="142"/>
      <c r="BM8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9" s="142"/>
      <c r="BR8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9" s="142"/>
      <c r="BW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9" s="61">
        <f>TblImps[[#This Row],[Login]]</f>
        <v>0</v>
      </c>
      <c r="BY89" s="137"/>
      <c r="BZ89" s="293">
        <f ca="1">OFFSET(TblImps[[#This Row],[Real time]],-1,0)+1/24</f>
        <v>46105.291666666461</v>
      </c>
      <c r="CA89" s="294">
        <f ca="1">OFFSET(TblImps[[#This Row],[Servertime]],-1,0)+1/24</f>
        <v>46105.541666666461</v>
      </c>
      <c r="CB89" s="57"/>
      <c r="CC89" s="292"/>
      <c r="CD89" s="292"/>
      <c r="CE89" s="159"/>
    </row>
    <row r="90" spans="1:85" x14ac:dyDescent="0.2">
      <c r="A90" s="214">
        <f ca="1">TblConstr[[#This Row],[Land]]</f>
        <v>110</v>
      </c>
      <c r="B90" s="142"/>
      <c r="C90" s="94">
        <f ca="1">TblProd[[#This Row],[Platinum]]</f>
        <v>185827</v>
      </c>
      <c r="D90" s="94">
        <f ca="1">TblProd[[#This Row],[Lumber]]</f>
        <v>64184</v>
      </c>
      <c r="E90" s="94">
        <f ca="1">TblProd[[#This Row],[Ore]]</f>
        <v>0</v>
      </c>
      <c r="F90" s="94">
        <f ca="1">TblProd[[#This Row],[Gems]]</f>
        <v>0</v>
      </c>
      <c r="G90" s="154"/>
      <c r="H90" s="94">
        <f ca="1">TblMili[[#This Row],[Draftees]]</f>
        <v>653</v>
      </c>
      <c r="I90" s="180">
        <f ca="1">TblPop[[#This Row],[Employment]]</f>
        <v>1</v>
      </c>
      <c r="J90" s="180">
        <f ca="1">TblPop[[#This Row],[Total]]/TblPop[[#This Row],[Net max]]</f>
        <v>1</v>
      </c>
      <c r="K90" s="283">
        <f>TblRezone[[#This Row],[Hour]]</f>
        <v>87</v>
      </c>
      <c r="L90" s="284">
        <f ca="1">TblImps[[#This Row],[Real time]]</f>
        <v>46105.333333333125</v>
      </c>
      <c r="M90" s="61">
        <f>IF(ISERROR(TblImps[[#This Row],[algorithm]]),0,TblImps[[#This Row],[algorithm]]*1)</f>
        <v>0</v>
      </c>
      <c r="N90" s="94">
        <f ca="1">TblImps[[#This Row],[Land]]</f>
        <v>110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57">
        <f ca="1">IF(OFFSET(TblMagic[[#This Row],[Active Alchemists Flame]],-1,0)&gt;0,TblConstr[[#This Row],[Tot Alc]]*alchemist_flame_invest,0)</f>
        <v>0</v>
      </c>
      <c r="BL90" s="142"/>
      <c r="BM9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0" s="142"/>
      <c r="BR9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0" s="142"/>
      <c r="BW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0" s="61">
        <f>TblImps[[#This Row],[Login]]</f>
        <v>0</v>
      </c>
      <c r="BY90" s="137"/>
      <c r="BZ90" s="293">
        <f ca="1">OFFSET(TblImps[[#This Row],[Real time]],-1,0)+1/24</f>
        <v>46105.333333333125</v>
      </c>
      <c r="CA90" s="294">
        <f ca="1">OFFSET(TblImps[[#This Row],[Servertime]],-1,0)+1/24</f>
        <v>46105.583333333125</v>
      </c>
      <c r="CB90" s="297"/>
      <c r="CC90" s="292"/>
      <c r="CD90" s="292"/>
      <c r="CG90" s="295"/>
    </row>
    <row r="91" spans="1:85" x14ac:dyDescent="0.2">
      <c r="A91" s="214">
        <f ca="1">TblConstr[[#This Row],[Land]]</f>
        <v>110</v>
      </c>
      <c r="B91" s="142"/>
      <c r="C91" s="94">
        <f ca="1">TblProd[[#This Row],[Platinum]]</f>
        <v>186969</v>
      </c>
      <c r="D91" s="94">
        <f ca="1">TblProd[[#This Row],[Lumber]]</f>
        <v>64542</v>
      </c>
      <c r="E91" s="94">
        <f ca="1">TblProd[[#This Row],[Ore]]</f>
        <v>0</v>
      </c>
      <c r="F91" s="94">
        <f ca="1">TblProd[[#This Row],[Gems]]</f>
        <v>0</v>
      </c>
      <c r="G91" s="154"/>
      <c r="H91" s="94">
        <f ca="1">TblMili[[#This Row],[Draftees]]</f>
        <v>657</v>
      </c>
      <c r="I91" s="180">
        <f ca="1">TblPop[[#This Row],[Employment]]</f>
        <v>1</v>
      </c>
      <c r="J91" s="180">
        <f ca="1">TblPop[[#This Row],[Total]]/TblPop[[#This Row],[Net max]]</f>
        <v>1</v>
      </c>
      <c r="K91" s="283">
        <f>TblRezone[[#This Row],[Hour]]</f>
        <v>88</v>
      </c>
      <c r="L91" s="284">
        <f ca="1">TblImps[[#This Row],[Real time]]</f>
        <v>46105.374999999789</v>
      </c>
      <c r="M91" s="61">
        <f>IF(ISERROR(TblImps[[#This Row],[algorithm]]),0,TblImps[[#This Row],[algorithm]]*1)</f>
        <v>0</v>
      </c>
      <c r="N91" s="94">
        <f ca="1">TblImps[[#This Row],[Land]]</f>
        <v>110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57">
        <f ca="1">IF(OFFSET(TblMagic[[#This Row],[Active Alchemists Flame]],-1,0)&gt;0,TblConstr[[#This Row],[Tot Alc]]*alchemist_flame_invest,0)</f>
        <v>0</v>
      </c>
      <c r="BL91" s="142"/>
      <c r="BM9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1" s="142"/>
      <c r="BR9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1" s="142"/>
      <c r="BW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1" s="61">
        <f>TblImps[[#This Row],[Login]]</f>
        <v>0</v>
      </c>
      <c r="BY91" s="137"/>
      <c r="BZ91" s="293">
        <f ca="1">OFFSET(TblImps[[#This Row],[Real time]],-1,0)+1/24</f>
        <v>46105.374999999789</v>
      </c>
      <c r="CA91" s="294">
        <f ca="1">OFFSET(TblImps[[#This Row],[Servertime]],-1,0)+1/24</f>
        <v>46105.624999999789</v>
      </c>
      <c r="CB91" s="57"/>
      <c r="CC91" s="292"/>
      <c r="CD91" s="292"/>
      <c r="CG91" s="296"/>
    </row>
    <row r="92" spans="1:85" x14ac:dyDescent="0.2">
      <c r="A92" s="214">
        <f ca="1">TblConstr[[#This Row],[Land]]</f>
        <v>110</v>
      </c>
      <c r="B92" s="142"/>
      <c r="C92" s="94">
        <f ca="1">TblProd[[#This Row],[Platinum]]</f>
        <v>188100</v>
      </c>
      <c r="D92" s="94">
        <f ca="1">TblProd[[#This Row],[Lumber]]</f>
        <v>64897</v>
      </c>
      <c r="E92" s="94">
        <f ca="1">TblProd[[#This Row],[Ore]]</f>
        <v>0</v>
      </c>
      <c r="F92" s="94">
        <f ca="1">TblProd[[#This Row],[Gems]]</f>
        <v>0</v>
      </c>
      <c r="G92" s="154"/>
      <c r="H92" s="94">
        <f ca="1">TblMili[[#This Row],[Draftees]]</f>
        <v>661</v>
      </c>
      <c r="I92" s="180">
        <f ca="1">TblPop[[#This Row],[Employment]]</f>
        <v>1</v>
      </c>
      <c r="J92" s="180">
        <f ca="1">TblPop[[#This Row],[Total]]/TblPop[[#This Row],[Net max]]</f>
        <v>1</v>
      </c>
      <c r="K92" s="283">
        <f>TblRezone[[#This Row],[Hour]]</f>
        <v>89</v>
      </c>
      <c r="L92" s="284">
        <f ca="1">TblImps[[#This Row],[Real time]]</f>
        <v>46105.416666666453</v>
      </c>
      <c r="M92" s="61">
        <f>IF(ISERROR(TblImps[[#This Row],[algorithm]]),0,TblImps[[#This Row],[algorithm]]*1)</f>
        <v>0</v>
      </c>
      <c r="N92" s="94">
        <f ca="1">TblImps[[#This Row],[Land]]</f>
        <v>110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57">
        <f ca="1">IF(OFFSET(TblMagic[[#This Row],[Active Alchemists Flame]],-1,0)&gt;0,TblConstr[[#This Row],[Tot Alc]]*alchemist_flame_invest,0)</f>
        <v>0</v>
      </c>
      <c r="BL92" s="142"/>
      <c r="BM9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2" s="142"/>
      <c r="BR9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2" s="142"/>
      <c r="BW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2" s="61">
        <f>TblImps[[#This Row],[Login]]</f>
        <v>0</v>
      </c>
      <c r="BY92" s="137"/>
      <c r="BZ92" s="293">
        <f ca="1">OFFSET(TblImps[[#This Row],[Real time]],-1,0)+1/24</f>
        <v>46105.416666666453</v>
      </c>
      <c r="CA92" s="294">
        <f ca="1">OFFSET(TblImps[[#This Row],[Servertime]],-1,0)+1/24</f>
        <v>46105.666666666453</v>
      </c>
      <c r="CB92" s="57"/>
      <c r="CC92" s="292"/>
      <c r="CD92" s="292"/>
      <c r="CG92" s="295"/>
    </row>
    <row r="93" spans="1:85" x14ac:dyDescent="0.2">
      <c r="A93" s="214">
        <f ca="1">TblConstr[[#This Row],[Land]]</f>
        <v>110</v>
      </c>
      <c r="B93" s="142"/>
      <c r="C93" s="94">
        <f ca="1">TblProd[[#This Row],[Platinum]]</f>
        <v>189220</v>
      </c>
      <c r="D93" s="94">
        <f ca="1">TblProd[[#This Row],[Lumber]]</f>
        <v>65248</v>
      </c>
      <c r="E93" s="94">
        <f ca="1">TblProd[[#This Row],[Ore]]</f>
        <v>0</v>
      </c>
      <c r="F93" s="94">
        <f ca="1">TblProd[[#This Row],[Gems]]</f>
        <v>0</v>
      </c>
      <c r="G93" s="154"/>
      <c r="H93" s="94">
        <f ca="1">TblMili[[#This Row],[Draftees]]</f>
        <v>665</v>
      </c>
      <c r="I93" s="180">
        <f ca="1">TblPop[[#This Row],[Employment]]</f>
        <v>1</v>
      </c>
      <c r="J93" s="180">
        <f ca="1">TblPop[[#This Row],[Total]]/TblPop[[#This Row],[Net max]]</f>
        <v>1</v>
      </c>
      <c r="K93" s="283">
        <f>TblRezone[[#This Row],[Hour]]</f>
        <v>90</v>
      </c>
      <c r="L93" s="284">
        <f ca="1">TblImps[[#This Row],[Real time]]</f>
        <v>46105.458333333117</v>
      </c>
      <c r="M93" s="61">
        <f>IF(ISERROR(TblImps[[#This Row],[algorithm]]),0,TblImps[[#This Row],[algorithm]]*1)</f>
        <v>0</v>
      </c>
      <c r="N93" s="94">
        <f ca="1">TblImps[[#This Row],[Land]]</f>
        <v>110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57">
        <f ca="1">IF(OFFSET(TblMagic[[#This Row],[Active Alchemists Flame]],-1,0)&gt;0,TblConstr[[#This Row],[Tot Alc]]*alchemist_flame_invest,0)</f>
        <v>0</v>
      </c>
      <c r="BL93" s="142"/>
      <c r="BM9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3" s="142"/>
      <c r="BR9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3" s="142"/>
      <c r="BW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3" s="61">
        <f>TblImps[[#This Row],[Login]]</f>
        <v>0</v>
      </c>
      <c r="BY93" s="137"/>
      <c r="BZ93" s="293">
        <f ca="1">OFFSET(TblImps[[#This Row],[Real time]],-1,0)+1/24</f>
        <v>46105.458333333117</v>
      </c>
      <c r="CA93" s="294">
        <f ca="1">OFFSET(TblImps[[#This Row],[Servertime]],-1,0)+1/24</f>
        <v>46105.708333333117</v>
      </c>
      <c r="CB93" s="57"/>
      <c r="CC93" s="292"/>
      <c r="CD93" s="292"/>
      <c r="CG93" s="295"/>
    </row>
    <row r="94" spans="1:85" x14ac:dyDescent="0.2">
      <c r="A94" s="214">
        <f ca="1">TblConstr[[#This Row],[Land]]</f>
        <v>110</v>
      </c>
      <c r="B94" s="142"/>
      <c r="C94" s="94">
        <f ca="1">TblProd[[#This Row],[Platinum]]</f>
        <v>190329</v>
      </c>
      <c r="D94" s="94">
        <f ca="1">TblProd[[#This Row],[Lumber]]</f>
        <v>65596</v>
      </c>
      <c r="E94" s="94">
        <f ca="1">TblProd[[#This Row],[Ore]]</f>
        <v>0</v>
      </c>
      <c r="F94" s="94">
        <f ca="1">TblProd[[#This Row],[Gems]]</f>
        <v>0</v>
      </c>
      <c r="G94" s="154"/>
      <c r="H94" s="94">
        <f ca="1">TblMili[[#This Row],[Draftees]]</f>
        <v>669</v>
      </c>
      <c r="I94" s="180">
        <f ca="1">TblPop[[#This Row],[Employment]]</f>
        <v>1</v>
      </c>
      <c r="J94" s="180">
        <f ca="1">TblPop[[#This Row],[Total]]/TblPop[[#This Row],[Net max]]</f>
        <v>1</v>
      </c>
      <c r="K94" s="283">
        <f>TblRezone[[#This Row],[Hour]]</f>
        <v>91</v>
      </c>
      <c r="L94" s="284">
        <f ca="1">TblImps[[#This Row],[Real time]]</f>
        <v>46105.499999999782</v>
      </c>
      <c r="M94" s="61">
        <f>IF(ISERROR(TblImps[[#This Row],[algorithm]]),0,TblImps[[#This Row],[algorithm]]*1)</f>
        <v>0</v>
      </c>
      <c r="N94" s="94">
        <f ca="1">TblImps[[#This Row],[Land]]</f>
        <v>110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57">
        <f ca="1">IF(OFFSET(TblMagic[[#This Row],[Active Alchemists Flame]],-1,0)&gt;0,TblConstr[[#This Row],[Tot Alc]]*alchemist_flame_invest,0)</f>
        <v>0</v>
      </c>
      <c r="BL94" s="142"/>
      <c r="BM9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4" s="142"/>
      <c r="BR9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4" s="142"/>
      <c r="BW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4" s="61">
        <f>TblImps[[#This Row],[Login]]</f>
        <v>0</v>
      </c>
      <c r="BY94" s="137"/>
      <c r="BZ94" s="293">
        <f ca="1">OFFSET(TblImps[[#This Row],[Real time]],-1,0)+1/24</f>
        <v>46105.499999999782</v>
      </c>
      <c r="CA94" s="294">
        <f ca="1">OFFSET(TblImps[[#This Row],[Servertime]],-1,0)+1/24</f>
        <v>46105.749999999782</v>
      </c>
      <c r="CB94" s="57"/>
      <c r="CC94" s="292"/>
      <c r="CD94" s="292"/>
    </row>
    <row r="95" spans="1:85" x14ac:dyDescent="0.2">
      <c r="A95" s="214">
        <f ca="1">TblConstr[[#This Row],[Land]]</f>
        <v>110</v>
      </c>
      <c r="B95" s="142"/>
      <c r="C95" s="94">
        <f ca="1">TblProd[[#This Row],[Platinum]]</f>
        <v>191427</v>
      </c>
      <c r="D95" s="94">
        <f ca="1">TblProd[[#This Row],[Lumber]]</f>
        <v>65940</v>
      </c>
      <c r="E95" s="94">
        <f ca="1">TblProd[[#This Row],[Ore]]</f>
        <v>0</v>
      </c>
      <c r="F95" s="94">
        <f ca="1">TblProd[[#This Row],[Gems]]</f>
        <v>0</v>
      </c>
      <c r="G95" s="154"/>
      <c r="H95" s="94">
        <f ca="1">TblMili[[#This Row],[Draftees]]</f>
        <v>673</v>
      </c>
      <c r="I95" s="180">
        <f ca="1">TblPop[[#This Row],[Employment]]</f>
        <v>1</v>
      </c>
      <c r="J95" s="180">
        <f ca="1">TblPop[[#This Row],[Total]]/TblPop[[#This Row],[Net max]]</f>
        <v>1</v>
      </c>
      <c r="K95" s="283">
        <f>TblRezone[[#This Row],[Hour]]</f>
        <v>92</v>
      </c>
      <c r="L95" s="284">
        <f ca="1">TblImps[[#This Row],[Real time]]</f>
        <v>46105.541666666446</v>
      </c>
      <c r="M95" s="61">
        <f>IF(ISERROR(TblImps[[#This Row],[algorithm]]),0,TblImps[[#This Row],[algorithm]]*1)</f>
        <v>0</v>
      </c>
      <c r="N95" s="94">
        <f ca="1">TblImps[[#This Row],[Land]]</f>
        <v>110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57">
        <f ca="1">IF(OFFSET(TblMagic[[#This Row],[Active Alchemists Flame]],-1,0)&gt;0,TblConstr[[#This Row],[Tot Alc]]*alchemist_flame_invest,0)</f>
        <v>0</v>
      </c>
      <c r="BL95" s="142"/>
      <c r="BM9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5" s="142"/>
      <c r="BR9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5" s="142"/>
      <c r="BW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5" s="61">
        <f>TblImps[[#This Row],[Login]]</f>
        <v>0</v>
      </c>
      <c r="BY95" s="137"/>
      <c r="BZ95" s="293">
        <f ca="1">OFFSET(TblImps[[#This Row],[Real time]],-1,0)+1/24</f>
        <v>46105.541666666446</v>
      </c>
      <c r="CA95" s="294">
        <f ca="1">OFFSET(TblImps[[#This Row],[Servertime]],-1,0)+1/24</f>
        <v>46105.791666666446</v>
      </c>
      <c r="CB95" s="57"/>
      <c r="CC95" s="292"/>
      <c r="CD95" s="292"/>
    </row>
    <row r="96" spans="1:85" x14ac:dyDescent="0.2">
      <c r="A96" s="214">
        <f ca="1">TblConstr[[#This Row],[Land]]</f>
        <v>110</v>
      </c>
      <c r="B96" s="142"/>
      <c r="C96" s="94">
        <f ca="1">TblProd[[#This Row],[Platinum]]</f>
        <v>192515</v>
      </c>
      <c r="D96" s="94">
        <f ca="1">TblProd[[#This Row],[Lumber]]</f>
        <v>66281</v>
      </c>
      <c r="E96" s="94">
        <f ca="1">TblProd[[#This Row],[Ore]]</f>
        <v>0</v>
      </c>
      <c r="F96" s="94">
        <f ca="1">TblProd[[#This Row],[Gems]]</f>
        <v>0</v>
      </c>
      <c r="G96" s="154"/>
      <c r="H96" s="94">
        <f ca="1">TblMili[[#This Row],[Draftees]]</f>
        <v>677</v>
      </c>
      <c r="I96" s="180">
        <f ca="1">TblPop[[#This Row],[Employment]]</f>
        <v>1</v>
      </c>
      <c r="J96" s="180">
        <f ca="1">TblPop[[#This Row],[Total]]/TblPop[[#This Row],[Net max]]</f>
        <v>1</v>
      </c>
      <c r="K96" s="283">
        <f>TblRezone[[#This Row],[Hour]]</f>
        <v>93</v>
      </c>
      <c r="L96" s="284">
        <f ca="1">TblImps[[#This Row],[Real time]]</f>
        <v>46105.58333333311</v>
      </c>
      <c r="M96" s="61">
        <f>IF(ISERROR(TblImps[[#This Row],[algorithm]]),0,TblImps[[#This Row],[algorithm]]*1)</f>
        <v>0</v>
      </c>
      <c r="N96" s="94">
        <f ca="1">TblImps[[#This Row],[Land]]</f>
        <v>110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57">
        <f ca="1">IF(OFFSET(TblMagic[[#This Row],[Active Alchemists Flame]],-1,0)&gt;0,TblConstr[[#This Row],[Tot Alc]]*alchemist_flame_invest,0)</f>
        <v>0</v>
      </c>
      <c r="BL96" s="142"/>
      <c r="BM9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6" s="142"/>
      <c r="BR9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6" s="142"/>
      <c r="BW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6" s="61">
        <f>TblImps[[#This Row],[Login]]</f>
        <v>0</v>
      </c>
      <c r="BY96" s="137"/>
      <c r="BZ96" s="293">
        <f ca="1">OFFSET(TblImps[[#This Row],[Real time]],-1,0)+1/24</f>
        <v>46105.58333333311</v>
      </c>
      <c r="CA96" s="294">
        <f ca="1">OFFSET(TblImps[[#This Row],[Servertime]],-1,0)+1/24</f>
        <v>46105.83333333311</v>
      </c>
      <c r="CB96" s="57"/>
      <c r="CC96" s="292"/>
      <c r="CD96" s="292"/>
    </row>
    <row r="97" spans="1:83" x14ac:dyDescent="0.2">
      <c r="A97" s="214">
        <f ca="1">TblConstr[[#This Row],[Land]]</f>
        <v>110</v>
      </c>
      <c r="B97" s="142"/>
      <c r="C97" s="94">
        <f ca="1">TblProd[[#This Row],[Platinum]]</f>
        <v>193592</v>
      </c>
      <c r="D97" s="94">
        <f ca="1">TblProd[[#This Row],[Lumber]]</f>
        <v>66618</v>
      </c>
      <c r="E97" s="94">
        <f ca="1">TblProd[[#This Row],[Ore]]</f>
        <v>0</v>
      </c>
      <c r="F97" s="94">
        <f ca="1">TblProd[[#This Row],[Gems]]</f>
        <v>0</v>
      </c>
      <c r="G97" s="154"/>
      <c r="H97" s="94">
        <f ca="1">TblMili[[#This Row],[Draftees]]</f>
        <v>681</v>
      </c>
      <c r="I97" s="180">
        <f ca="1">TblPop[[#This Row],[Employment]]</f>
        <v>1</v>
      </c>
      <c r="J97" s="180">
        <f ca="1">TblPop[[#This Row],[Total]]/TblPop[[#This Row],[Net max]]</f>
        <v>1</v>
      </c>
      <c r="K97" s="283">
        <f>TblRezone[[#This Row],[Hour]]</f>
        <v>94</v>
      </c>
      <c r="L97" s="284">
        <f ca="1">TblImps[[#This Row],[Real time]]</f>
        <v>46105.624999999774</v>
      </c>
      <c r="M97" s="61">
        <f>IF(ISERROR(TblImps[[#This Row],[algorithm]]),0,TblImps[[#This Row],[algorithm]]*1)</f>
        <v>0</v>
      </c>
      <c r="N97" s="94">
        <f ca="1">TblImps[[#This Row],[Land]]</f>
        <v>110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57">
        <f ca="1">IF(OFFSET(TblMagic[[#This Row],[Active Alchemists Flame]],-1,0)&gt;0,TblConstr[[#This Row],[Tot Alc]]*alchemist_flame_invest,0)</f>
        <v>0</v>
      </c>
      <c r="BL97" s="142"/>
      <c r="BM9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7" s="142"/>
      <c r="BR9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7" s="142"/>
      <c r="BW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7" s="61">
        <f>TblImps[[#This Row],[Login]]</f>
        <v>0</v>
      </c>
      <c r="BY97" s="137"/>
      <c r="BZ97" s="293">
        <f ca="1">OFFSET(TblImps[[#This Row],[Real time]],-1,0)+1/24</f>
        <v>46105.624999999774</v>
      </c>
      <c r="CA97" s="294">
        <f ca="1">OFFSET(TblImps[[#This Row],[Servertime]],-1,0)+1/24</f>
        <v>46105.874999999774</v>
      </c>
      <c r="CB97" s="57"/>
      <c r="CC97" s="292"/>
      <c r="CD97" s="292"/>
    </row>
    <row r="98" spans="1:83" x14ac:dyDescent="0.2">
      <c r="A98" s="214">
        <f ca="1">TblConstr[[#This Row],[Land]]</f>
        <v>110</v>
      </c>
      <c r="B98" s="142"/>
      <c r="C98" s="94">
        <f ca="1">TblProd[[#This Row],[Platinum]]</f>
        <v>194658</v>
      </c>
      <c r="D98" s="94">
        <f ca="1">TblProd[[#This Row],[Lumber]]</f>
        <v>66952</v>
      </c>
      <c r="E98" s="94">
        <f ca="1">TblProd[[#This Row],[Ore]]</f>
        <v>0</v>
      </c>
      <c r="F98" s="94">
        <f ca="1">TblProd[[#This Row],[Gems]]</f>
        <v>0</v>
      </c>
      <c r="G98" s="154"/>
      <c r="H98" s="94">
        <f ca="1">TblMili[[#This Row],[Draftees]]</f>
        <v>685</v>
      </c>
      <c r="I98" s="180">
        <f ca="1">TblPop[[#This Row],[Employment]]</f>
        <v>1</v>
      </c>
      <c r="J98" s="180">
        <f ca="1">TblPop[[#This Row],[Total]]/TblPop[[#This Row],[Net max]]</f>
        <v>1</v>
      </c>
      <c r="K98" s="283">
        <f>TblRezone[[#This Row],[Hour]]</f>
        <v>95</v>
      </c>
      <c r="L98" s="284">
        <f ca="1">TblImps[[#This Row],[Real time]]</f>
        <v>46105.666666666439</v>
      </c>
      <c r="M98" s="61">
        <f>IF(ISERROR(TblImps[[#This Row],[algorithm]]),0,TblImps[[#This Row],[algorithm]]*1)</f>
        <v>0</v>
      </c>
      <c r="N98" s="94">
        <f ca="1">TblImps[[#This Row],[Land]]</f>
        <v>110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57">
        <f ca="1">IF(OFFSET(TblMagic[[#This Row],[Active Alchemists Flame]],-1,0)&gt;0,TblConstr[[#This Row],[Tot Alc]]*alchemist_flame_invest,0)</f>
        <v>0</v>
      </c>
      <c r="BL98" s="142"/>
      <c r="BM9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8" s="142"/>
      <c r="BR9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8" s="142"/>
      <c r="BW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8" s="61">
        <f>TblImps[[#This Row],[Login]]</f>
        <v>0</v>
      </c>
      <c r="BY98" s="137"/>
      <c r="BZ98" s="293">
        <f ca="1">OFFSET(TblImps[[#This Row],[Real time]],-1,0)+1/24</f>
        <v>46105.666666666439</v>
      </c>
      <c r="CA98" s="294">
        <f ca="1">OFFSET(TblImps[[#This Row],[Servertime]],-1,0)+1/24</f>
        <v>46105.916666666439</v>
      </c>
      <c r="CB98" s="57"/>
      <c r="CC98" s="292"/>
      <c r="CD98" s="292"/>
    </row>
    <row r="99" spans="1:83" x14ac:dyDescent="0.2">
      <c r="A99" s="214">
        <f ca="1">TblConstr[[#This Row],[Land]]</f>
        <v>110</v>
      </c>
      <c r="B99" s="142"/>
      <c r="C99" s="94">
        <f ca="1">TblProd[[#This Row],[Platinum]]</f>
        <v>195713</v>
      </c>
      <c r="D99" s="94">
        <f ca="1">TblProd[[#This Row],[Lumber]]</f>
        <v>67282</v>
      </c>
      <c r="E99" s="94">
        <f ca="1">TblProd[[#This Row],[Ore]]</f>
        <v>0</v>
      </c>
      <c r="F99" s="94">
        <f ca="1">TblProd[[#This Row],[Gems]]</f>
        <v>0</v>
      </c>
      <c r="G99" s="154"/>
      <c r="H99" s="94">
        <f ca="1">TblMili[[#This Row],[Draftees]]</f>
        <v>689</v>
      </c>
      <c r="I99" s="180">
        <f ca="1">TblPop[[#This Row],[Employment]]</f>
        <v>1</v>
      </c>
      <c r="J99" s="180">
        <f ca="1">TblPop[[#This Row],[Total]]/TblPop[[#This Row],[Net max]]</f>
        <v>1</v>
      </c>
      <c r="K99" s="283">
        <f>TblRezone[[#This Row],[Hour]]</f>
        <v>96</v>
      </c>
      <c r="L99" s="284">
        <f ca="1">TblImps[[#This Row],[Real time]]</f>
        <v>46105.708333333103</v>
      </c>
      <c r="M99" s="61">
        <f>IF(ISERROR(TblImps[[#This Row],[algorithm]]),0,TblImps[[#This Row],[algorithm]]*1)</f>
        <v>0</v>
      </c>
      <c r="N99" s="94">
        <f ca="1">TblImps[[#This Row],[Land]]</f>
        <v>110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57">
        <f ca="1">IF(OFFSET(TblMagic[[#This Row],[Active Alchemists Flame]],-1,0)&gt;0,TblConstr[[#This Row],[Tot Alc]]*alchemist_flame_invest,0)</f>
        <v>0</v>
      </c>
      <c r="BL99" s="142"/>
      <c r="BM9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9" s="142"/>
      <c r="BR9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9" s="142"/>
      <c r="BW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9" s="61">
        <f>TblImps[[#This Row],[Login]]</f>
        <v>0</v>
      </c>
      <c r="BY99" s="137"/>
      <c r="BZ99" s="293">
        <f ca="1">OFFSET(TblImps[[#This Row],[Real time]],-1,0)+1/24</f>
        <v>46105.708333333103</v>
      </c>
      <c r="CA99" s="294">
        <f ca="1">OFFSET(TblImps[[#This Row],[Servertime]],-1,0)+1/24</f>
        <v>46105.958333333103</v>
      </c>
      <c r="CB99" s="57"/>
      <c r="CC99" s="292"/>
      <c r="CD99" s="292"/>
    </row>
    <row r="100" spans="1:83" x14ac:dyDescent="0.2">
      <c r="A100" s="214">
        <f ca="1">TblConstr[[#This Row],[Land]]</f>
        <v>110</v>
      </c>
      <c r="B100" s="142"/>
      <c r="C100" s="94">
        <f ca="1">TblProd[[#This Row],[Platinum]]</f>
        <v>196757</v>
      </c>
      <c r="D100" s="94">
        <f ca="1">TblProd[[#This Row],[Lumber]]</f>
        <v>67609</v>
      </c>
      <c r="E100" s="94">
        <f ca="1">TblProd[[#This Row],[Ore]]</f>
        <v>0</v>
      </c>
      <c r="F100" s="94">
        <f ca="1">TblProd[[#This Row],[Gems]]</f>
        <v>0</v>
      </c>
      <c r="G100" s="154"/>
      <c r="H100" s="94">
        <f ca="1">TblMili[[#This Row],[Draftees]]</f>
        <v>693</v>
      </c>
      <c r="I100" s="180">
        <f ca="1">TblPop[[#This Row],[Employment]]</f>
        <v>1</v>
      </c>
      <c r="J100" s="180">
        <f ca="1">TblPop[[#This Row],[Total]]/TblPop[[#This Row],[Net max]]</f>
        <v>1</v>
      </c>
      <c r="K100" s="283">
        <f>TblRezone[[#This Row],[Hour]]</f>
        <v>97</v>
      </c>
      <c r="L100" s="284">
        <f ca="1">TblImps[[#This Row],[Real time]]</f>
        <v>46105.749999999767</v>
      </c>
      <c r="M100" s="61">
        <f>IF(ISERROR(TblImps[[#This Row],[algorithm]]),0,TblImps[[#This Row],[algorithm]]*1)</f>
        <v>0</v>
      </c>
      <c r="N100" s="94">
        <f ca="1">TblImps[[#This Row],[Land]]</f>
        <v>110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57">
        <f ca="1">IF(OFFSET(TblMagic[[#This Row],[Active Alchemists Flame]],-1,0)&gt;0,TblConstr[[#This Row],[Tot Alc]]*alchemist_flame_invest,0)</f>
        <v>0</v>
      </c>
      <c r="BL100" s="142"/>
      <c r="BM10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0" s="142"/>
      <c r="BR10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0" s="142"/>
      <c r="BW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0" s="61">
        <f>TblImps[[#This Row],[Login]]</f>
        <v>0</v>
      </c>
      <c r="BY100" s="137"/>
      <c r="BZ100" s="293">
        <f ca="1">OFFSET(TblImps[[#This Row],[Real time]],-1,0)+1/24</f>
        <v>46105.749999999767</v>
      </c>
      <c r="CA100" s="294">
        <f ca="1">OFFSET(TblImps[[#This Row],[Servertime]],-1,0)+1/24</f>
        <v>46105.999999999767</v>
      </c>
      <c r="CB100" s="57"/>
      <c r="CC100" s="292"/>
      <c r="CD100" s="292"/>
    </row>
    <row r="101" spans="1:83" x14ac:dyDescent="0.2">
      <c r="A101" s="214">
        <f ca="1">TblConstr[[#This Row],[Land]]</f>
        <v>110</v>
      </c>
      <c r="B101" s="142"/>
      <c r="C101" s="94">
        <f ca="1">TblProd[[#This Row],[Platinum]]</f>
        <v>197791</v>
      </c>
      <c r="D101" s="94">
        <f ca="1">TblProd[[#This Row],[Lumber]]</f>
        <v>67933</v>
      </c>
      <c r="E101" s="94">
        <f ca="1">TblProd[[#This Row],[Ore]]</f>
        <v>0</v>
      </c>
      <c r="F101" s="94">
        <f ca="1">TblProd[[#This Row],[Gems]]</f>
        <v>0</v>
      </c>
      <c r="G101" s="154"/>
      <c r="H101" s="94">
        <f ca="1">TblMili[[#This Row],[Draftees]]</f>
        <v>697</v>
      </c>
      <c r="I101" s="180">
        <f ca="1">TblPop[[#This Row],[Employment]]</f>
        <v>1</v>
      </c>
      <c r="J101" s="180">
        <f ca="1">TblPop[[#This Row],[Total]]/TblPop[[#This Row],[Net max]]</f>
        <v>1</v>
      </c>
      <c r="K101" s="283">
        <f>TblRezone[[#This Row],[Hour]]</f>
        <v>98</v>
      </c>
      <c r="L101" s="284">
        <f ca="1">TblImps[[#This Row],[Real time]]</f>
        <v>46105.791666666431</v>
      </c>
      <c r="M101" s="61">
        <f>IF(ISERROR(TblImps[[#This Row],[algorithm]]),0,TblImps[[#This Row],[algorithm]]*1)</f>
        <v>0</v>
      </c>
      <c r="N101" s="94">
        <f ca="1">TblImps[[#This Row],[Land]]</f>
        <v>110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57">
        <f ca="1">IF(OFFSET(TblMagic[[#This Row],[Active Alchemists Flame]],-1,0)&gt;0,TblConstr[[#This Row],[Tot Alc]]*alchemist_flame_invest,0)</f>
        <v>0</v>
      </c>
      <c r="BL101" s="142"/>
      <c r="BM10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1" s="142"/>
      <c r="BR10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1" s="142"/>
      <c r="BW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1" s="61">
        <f>TblImps[[#This Row],[Login]]</f>
        <v>0</v>
      </c>
      <c r="BY101" s="137"/>
      <c r="BZ101" s="293">
        <f ca="1">OFFSET(TblImps[[#This Row],[Real time]],-1,0)+1/24</f>
        <v>46105.791666666431</v>
      </c>
      <c r="CA101" s="294">
        <f ca="1">OFFSET(TblImps[[#This Row],[Servertime]],-1,0)+1/24</f>
        <v>46106.041666666431</v>
      </c>
      <c r="CB101" s="57"/>
      <c r="CC101" s="292"/>
      <c r="CD101" s="292"/>
    </row>
    <row r="102" spans="1:83" x14ac:dyDescent="0.2">
      <c r="A102" s="214">
        <f ca="1">TblConstr[[#This Row],[Land]]</f>
        <v>110</v>
      </c>
      <c r="B102" s="142"/>
      <c r="C102" s="94">
        <f ca="1">TblProd[[#This Row],[Platinum]]</f>
        <v>198814</v>
      </c>
      <c r="D102" s="94">
        <f ca="1">TblProd[[#This Row],[Lumber]]</f>
        <v>68254</v>
      </c>
      <c r="E102" s="94">
        <f ca="1">TblProd[[#This Row],[Ore]]</f>
        <v>0</v>
      </c>
      <c r="F102" s="94">
        <f ca="1">TblProd[[#This Row],[Gems]]</f>
        <v>0</v>
      </c>
      <c r="G102" s="154"/>
      <c r="H102" s="94">
        <f ca="1">TblMili[[#This Row],[Draftees]]</f>
        <v>701</v>
      </c>
      <c r="I102" s="180">
        <f ca="1">TblPop[[#This Row],[Employment]]</f>
        <v>1</v>
      </c>
      <c r="J102" s="180">
        <f ca="1">TblPop[[#This Row],[Total]]/TblPop[[#This Row],[Net max]]</f>
        <v>1</v>
      </c>
      <c r="K102" s="283">
        <f>TblRezone[[#This Row],[Hour]]</f>
        <v>99</v>
      </c>
      <c r="L102" s="284">
        <f ca="1">TblImps[[#This Row],[Real time]]</f>
        <v>46105.833333333096</v>
      </c>
      <c r="M102" s="61">
        <f>IF(ISERROR(TblImps[[#This Row],[algorithm]]),0,TblImps[[#This Row],[algorithm]]*1)</f>
        <v>0</v>
      </c>
      <c r="N102" s="94">
        <f ca="1">TblImps[[#This Row],[Land]]</f>
        <v>110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57">
        <f ca="1">IF(OFFSET(TblMagic[[#This Row],[Active Alchemists Flame]],-1,0)&gt;0,TblConstr[[#This Row],[Tot Alc]]*alchemist_flame_invest,0)</f>
        <v>0</v>
      </c>
      <c r="BL102" s="142"/>
      <c r="BM10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2" s="142"/>
      <c r="BR10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2" s="142"/>
      <c r="BW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2" s="61">
        <f>TblImps[[#This Row],[Login]]</f>
        <v>0</v>
      </c>
      <c r="BY102" s="137"/>
      <c r="BZ102" s="293">
        <f ca="1">OFFSET(TblImps[[#This Row],[Real time]],-1,0)+1/24</f>
        <v>46105.833333333096</v>
      </c>
      <c r="CA102" s="294">
        <f ca="1">OFFSET(TblImps[[#This Row],[Servertime]],-1,0)+1/24</f>
        <v>46106.083333333096</v>
      </c>
      <c r="CB102" s="57"/>
      <c r="CC102" s="292"/>
      <c r="CD102" s="292"/>
      <c r="CE102" s="45" t="s">
        <v>4</v>
      </c>
    </row>
    <row r="103" spans="1:83" x14ac:dyDescent="0.2">
      <c r="A103" s="214">
        <f ca="1">TblConstr[[#This Row],[Land]]</f>
        <v>110</v>
      </c>
      <c r="B103" s="142"/>
      <c r="C103" s="94">
        <f ca="1">TblProd[[#This Row],[Platinum]]</f>
        <v>199826</v>
      </c>
      <c r="D103" s="94">
        <f ca="1">TblProd[[#This Row],[Lumber]]</f>
        <v>68571</v>
      </c>
      <c r="E103" s="94">
        <f ca="1">TblProd[[#This Row],[Ore]]</f>
        <v>0</v>
      </c>
      <c r="F103" s="94">
        <f ca="1">TblProd[[#This Row],[Gems]]</f>
        <v>0</v>
      </c>
      <c r="G103" s="154"/>
      <c r="H103" s="94">
        <f ca="1">TblMili[[#This Row],[Draftees]]</f>
        <v>705</v>
      </c>
      <c r="I103" s="180">
        <f ca="1">TblPop[[#This Row],[Employment]]</f>
        <v>1</v>
      </c>
      <c r="J103" s="180">
        <f ca="1">TblPop[[#This Row],[Total]]/TblPop[[#This Row],[Net max]]</f>
        <v>1</v>
      </c>
      <c r="K103" s="283">
        <f>TblRezone[[#This Row],[Hour]]</f>
        <v>100</v>
      </c>
      <c r="L103" s="284">
        <f ca="1">TblImps[[#This Row],[Real time]]</f>
        <v>46105.87499999976</v>
      </c>
      <c r="M103" s="61">
        <f>IF(ISERROR(TblImps[[#This Row],[algorithm]]),0,TblImps[[#This Row],[algorithm]]*1)</f>
        <v>0</v>
      </c>
      <c r="N103" s="94">
        <f ca="1">TblImps[[#This Row],[Land]]</f>
        <v>110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57">
        <f ca="1">IF(OFFSET(TblMagic[[#This Row],[Active Alchemists Flame]],-1,0)&gt;0,TblConstr[[#This Row],[Tot Alc]]*alchemist_flame_invest,0)</f>
        <v>0</v>
      </c>
      <c r="BL103" s="142"/>
      <c r="BM10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3" s="142"/>
      <c r="BR10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3" s="142"/>
      <c r="BW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3" s="61">
        <f>TblImps[[#This Row],[Login]]</f>
        <v>0</v>
      </c>
      <c r="BY103" s="137"/>
      <c r="BZ103" s="293">
        <f ca="1">OFFSET(TblImps[[#This Row],[Real time]],-1,0)+1/24</f>
        <v>46105.87499999976</v>
      </c>
      <c r="CA103" s="294">
        <f ca="1">OFFSET(TblImps[[#This Row],[Servertime]],-1,0)+1/24</f>
        <v>46106.12499999976</v>
      </c>
      <c r="CB103" s="57"/>
      <c r="CC103" s="292"/>
      <c r="CD103" s="292"/>
      <c r="CE103" s="45" t="s">
        <v>7</v>
      </c>
    </row>
    <row r="104" spans="1:83" x14ac:dyDescent="0.2">
      <c r="A104" s="214">
        <f ca="1">TblConstr[[#This Row],[Land]]</f>
        <v>110</v>
      </c>
      <c r="B104" s="142"/>
      <c r="C104" s="94">
        <f ca="1">TblProd[[#This Row],[Platinum]]</f>
        <v>200827</v>
      </c>
      <c r="D104" s="94">
        <f ca="1">TblProd[[#This Row],[Lumber]]</f>
        <v>68885</v>
      </c>
      <c r="E104" s="94">
        <f ca="1">TblProd[[#This Row],[Ore]]</f>
        <v>0</v>
      </c>
      <c r="F104" s="94">
        <f ca="1">TblProd[[#This Row],[Gems]]</f>
        <v>0</v>
      </c>
      <c r="G104" s="154"/>
      <c r="H104" s="94">
        <f ca="1">TblMili[[#This Row],[Draftees]]</f>
        <v>709</v>
      </c>
      <c r="I104" s="180">
        <f ca="1">TblPop[[#This Row],[Employment]]</f>
        <v>1</v>
      </c>
      <c r="J104" s="180">
        <f ca="1">TblPop[[#This Row],[Total]]/TblPop[[#This Row],[Net max]]</f>
        <v>1</v>
      </c>
      <c r="K104" s="283">
        <f>TblRezone[[#This Row],[Hour]]</f>
        <v>101</v>
      </c>
      <c r="L104" s="284">
        <f ca="1">TblImps[[#This Row],[Real time]]</f>
        <v>46105.916666666424</v>
      </c>
      <c r="M104" s="61">
        <f>IF(ISERROR(TblImps[[#This Row],[algorithm]]),0,TblImps[[#This Row],[algorithm]]*1)</f>
        <v>0</v>
      </c>
      <c r="N104" s="94">
        <f ca="1">TblImps[[#This Row],[Land]]</f>
        <v>110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57">
        <f ca="1">IF(OFFSET(TblMagic[[#This Row],[Active Alchemists Flame]],-1,0)&gt;0,TblConstr[[#This Row],[Tot Alc]]*alchemist_flame_invest,0)</f>
        <v>0</v>
      </c>
      <c r="BL104" s="142"/>
      <c r="BM10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4" s="142"/>
      <c r="BR10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4" s="142"/>
      <c r="BW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4" s="61">
        <f>TblImps[[#This Row],[Login]]</f>
        <v>0</v>
      </c>
      <c r="BY104" s="137"/>
      <c r="BZ104" s="293">
        <f ca="1">OFFSET(TblImps[[#This Row],[Real time]],-1,0)+1/24</f>
        <v>46105.916666666424</v>
      </c>
      <c r="CA104" s="294">
        <f ca="1">OFFSET(TblImps[[#This Row],[Servertime]],-1,0)+1/24</f>
        <v>46106.166666666424</v>
      </c>
      <c r="CB104" s="57"/>
      <c r="CC104" s="292"/>
      <c r="CD104" s="292"/>
      <c r="CE104" s="45" t="s">
        <v>3</v>
      </c>
    </row>
    <row r="105" spans="1:83" x14ac:dyDescent="0.2">
      <c r="A105" s="214">
        <f ca="1">TblConstr[[#This Row],[Land]]</f>
        <v>110</v>
      </c>
      <c r="B105" s="142"/>
      <c r="C105" s="94">
        <f ca="1">TblProd[[#This Row],[Platinum]]</f>
        <v>201817</v>
      </c>
      <c r="D105" s="94">
        <f ca="1">TblProd[[#This Row],[Lumber]]</f>
        <v>69196</v>
      </c>
      <c r="E105" s="94">
        <f ca="1">TblProd[[#This Row],[Ore]]</f>
        <v>0</v>
      </c>
      <c r="F105" s="94">
        <f ca="1">TblProd[[#This Row],[Gems]]</f>
        <v>0</v>
      </c>
      <c r="G105" s="154"/>
      <c r="H105" s="94">
        <f ca="1">TblMili[[#This Row],[Draftees]]</f>
        <v>713</v>
      </c>
      <c r="I105" s="180">
        <f ca="1">TblPop[[#This Row],[Employment]]</f>
        <v>1</v>
      </c>
      <c r="J105" s="180">
        <f ca="1">TblPop[[#This Row],[Total]]/TblPop[[#This Row],[Net max]]</f>
        <v>1</v>
      </c>
      <c r="K105" s="283">
        <f>TblRezone[[#This Row],[Hour]]</f>
        <v>102</v>
      </c>
      <c r="L105" s="284">
        <f ca="1">TblImps[[#This Row],[Real time]]</f>
        <v>46105.958333333088</v>
      </c>
      <c r="M105" s="61">
        <f>IF(ISERROR(TblImps[[#This Row],[algorithm]]),0,TblImps[[#This Row],[algorithm]]*1)</f>
        <v>0</v>
      </c>
      <c r="N105" s="94">
        <f ca="1">TblImps[[#This Row],[Land]]</f>
        <v>110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57">
        <f ca="1">IF(OFFSET(TblMagic[[#This Row],[Active Alchemists Flame]],-1,0)&gt;0,TblConstr[[#This Row],[Tot Alc]]*alchemist_flame_invest,0)</f>
        <v>0</v>
      </c>
      <c r="BL105" s="142"/>
      <c r="BM10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5" s="142"/>
      <c r="BR10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5" s="142"/>
      <c r="BW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5" s="61">
        <f>TblImps[[#This Row],[Login]]</f>
        <v>0</v>
      </c>
      <c r="BY105" s="137"/>
      <c r="BZ105" s="293">
        <f ca="1">OFFSET(TblImps[[#This Row],[Real time]],-1,0)+1/24</f>
        <v>46105.958333333088</v>
      </c>
      <c r="CA105" s="294">
        <f ca="1">OFFSET(TblImps[[#This Row],[Servertime]],-1,0)+1/24</f>
        <v>46106.208333333088</v>
      </c>
      <c r="CB105" s="57"/>
      <c r="CC105" s="292"/>
      <c r="CD105" s="292"/>
      <c r="CE105" s="45" t="s">
        <v>2</v>
      </c>
    </row>
    <row r="106" spans="1:83" x14ac:dyDescent="0.2">
      <c r="A106" s="214">
        <f ca="1">TblConstr[[#This Row],[Land]]</f>
        <v>110</v>
      </c>
      <c r="B106" s="142"/>
      <c r="C106" s="94">
        <f ca="1">TblProd[[#This Row],[Platinum]]</f>
        <v>202797</v>
      </c>
      <c r="D106" s="94">
        <f ca="1">TblProd[[#This Row],[Lumber]]</f>
        <v>69504</v>
      </c>
      <c r="E106" s="94">
        <f ca="1">TblProd[[#This Row],[Ore]]</f>
        <v>0</v>
      </c>
      <c r="F106" s="94">
        <f ca="1">TblProd[[#This Row],[Gems]]</f>
        <v>0</v>
      </c>
      <c r="G106" s="154"/>
      <c r="H106" s="94">
        <f ca="1">TblMili[[#This Row],[Draftees]]</f>
        <v>717</v>
      </c>
      <c r="I106" s="180">
        <f ca="1">TblPop[[#This Row],[Employment]]</f>
        <v>1</v>
      </c>
      <c r="J106" s="180">
        <f ca="1">TblPop[[#This Row],[Total]]/TblPop[[#This Row],[Net max]]</f>
        <v>1</v>
      </c>
      <c r="K106" s="283">
        <f>TblRezone[[#This Row],[Hour]]</f>
        <v>103</v>
      </c>
      <c r="L106" s="284">
        <f ca="1">TblImps[[#This Row],[Real time]]</f>
        <v>46105.999999999753</v>
      </c>
      <c r="M106" s="61">
        <f>IF(ISERROR(TblImps[[#This Row],[algorithm]]),0,TblImps[[#This Row],[algorithm]]*1)</f>
        <v>0</v>
      </c>
      <c r="N106" s="94">
        <f ca="1">TblImps[[#This Row],[Land]]</f>
        <v>110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57">
        <f ca="1">IF(OFFSET(TblMagic[[#This Row],[Active Alchemists Flame]],-1,0)&gt;0,TblConstr[[#This Row],[Tot Alc]]*alchemist_flame_invest,0)</f>
        <v>0</v>
      </c>
      <c r="BL106" s="142"/>
      <c r="BM10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6" s="142"/>
      <c r="BR10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6" s="142"/>
      <c r="BW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6" s="61">
        <f>TblImps[[#This Row],[Login]]</f>
        <v>0</v>
      </c>
      <c r="BY106" s="137"/>
      <c r="BZ106" s="293">
        <f ca="1">OFFSET(TblImps[[#This Row],[Real time]],-1,0)+1/24</f>
        <v>46105.999999999753</v>
      </c>
      <c r="CA106" s="294">
        <f ca="1">OFFSET(TblImps[[#This Row],[Servertime]],-1,0)+1/24</f>
        <v>46106.249999999753</v>
      </c>
      <c r="CB106" s="57"/>
      <c r="CC106" s="292"/>
      <c r="CD106" s="292"/>
    </row>
    <row r="107" spans="1:83" x14ac:dyDescent="0.2">
      <c r="A107" s="214">
        <f ca="1">TblConstr[[#This Row],[Land]]</f>
        <v>110</v>
      </c>
      <c r="B107" s="142"/>
      <c r="C107" s="94">
        <f ca="1">TblProd[[#This Row],[Platinum]]</f>
        <v>203766</v>
      </c>
      <c r="D107" s="94">
        <f ca="1">TblProd[[#This Row],[Lumber]]</f>
        <v>69809</v>
      </c>
      <c r="E107" s="94">
        <f ca="1">TblProd[[#This Row],[Ore]]</f>
        <v>0</v>
      </c>
      <c r="F107" s="94">
        <f ca="1">TblProd[[#This Row],[Gems]]</f>
        <v>0</v>
      </c>
      <c r="G107" s="154"/>
      <c r="H107" s="94">
        <f ca="1">TblMili[[#This Row],[Draftees]]</f>
        <v>721</v>
      </c>
      <c r="I107" s="180">
        <f ca="1">TblPop[[#This Row],[Employment]]</f>
        <v>1</v>
      </c>
      <c r="J107" s="180">
        <f ca="1">TblPop[[#This Row],[Total]]/TblPop[[#This Row],[Net max]]</f>
        <v>1</v>
      </c>
      <c r="K107" s="283">
        <f>TblRezone[[#This Row],[Hour]]</f>
        <v>104</v>
      </c>
      <c r="L107" s="284">
        <f ca="1">TblImps[[#This Row],[Real time]]</f>
        <v>46106.041666666417</v>
      </c>
      <c r="M107" s="61">
        <f>IF(ISERROR(TblImps[[#This Row],[algorithm]]),0,TblImps[[#This Row],[algorithm]]*1)</f>
        <v>0</v>
      </c>
      <c r="N107" s="94">
        <f ca="1">TblImps[[#This Row],[Land]]</f>
        <v>110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57">
        <f ca="1">IF(OFFSET(TblMagic[[#This Row],[Active Alchemists Flame]],-1,0)&gt;0,TblConstr[[#This Row],[Tot Alc]]*alchemist_flame_invest,0)</f>
        <v>0</v>
      </c>
      <c r="BL107" s="142"/>
      <c r="BM10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7" s="142"/>
      <c r="BR10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7" s="142"/>
      <c r="BW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7" s="61">
        <f>TblImps[[#This Row],[Login]]</f>
        <v>0</v>
      </c>
      <c r="BY107" s="137"/>
      <c r="BZ107" s="293">
        <f ca="1">OFFSET(TblImps[[#This Row],[Real time]],-1,0)+1/24</f>
        <v>46106.041666666417</v>
      </c>
      <c r="CA107" s="294">
        <f ca="1">OFFSET(TblImps[[#This Row],[Servertime]],-1,0)+1/24</f>
        <v>46106.291666666417</v>
      </c>
      <c r="CB107" s="57"/>
      <c r="CC107" s="292"/>
      <c r="CD107" s="292"/>
      <c r="CE107" s="45" t="s">
        <v>208</v>
      </c>
    </row>
    <row r="108" spans="1:83" x14ac:dyDescent="0.2">
      <c r="A108" s="214">
        <f ca="1">TblConstr[[#This Row],[Land]]</f>
        <v>110</v>
      </c>
      <c r="B108" s="142"/>
      <c r="C108" s="94">
        <f ca="1">TblProd[[#This Row],[Platinum]]</f>
        <v>204724</v>
      </c>
      <c r="D108" s="94">
        <f ca="1">TblProd[[#This Row],[Lumber]]</f>
        <v>70111</v>
      </c>
      <c r="E108" s="94">
        <f ca="1">TblProd[[#This Row],[Ore]]</f>
        <v>0</v>
      </c>
      <c r="F108" s="94">
        <f ca="1">TblProd[[#This Row],[Gems]]</f>
        <v>0</v>
      </c>
      <c r="G108" s="154"/>
      <c r="H108" s="94">
        <f ca="1">TblMili[[#This Row],[Draftees]]</f>
        <v>725</v>
      </c>
      <c r="I108" s="180">
        <f ca="1">TblPop[[#This Row],[Employment]]</f>
        <v>1</v>
      </c>
      <c r="J108" s="180">
        <f ca="1">TblPop[[#This Row],[Total]]/TblPop[[#This Row],[Net max]]</f>
        <v>1</v>
      </c>
      <c r="K108" s="283">
        <f>TblRezone[[#This Row],[Hour]]</f>
        <v>105</v>
      </c>
      <c r="L108" s="284">
        <f ca="1">TblImps[[#This Row],[Real time]]</f>
        <v>46106.083333333081</v>
      </c>
      <c r="M108" s="61">
        <f>IF(ISERROR(TblImps[[#This Row],[algorithm]]),0,TblImps[[#This Row],[algorithm]]*1)</f>
        <v>0</v>
      </c>
      <c r="N108" s="94">
        <f ca="1">TblImps[[#This Row],[Land]]</f>
        <v>110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57">
        <f ca="1">IF(OFFSET(TblMagic[[#This Row],[Active Alchemists Flame]],-1,0)&gt;0,TblConstr[[#This Row],[Tot Alc]]*alchemist_flame_invest,0)</f>
        <v>0</v>
      </c>
      <c r="BL108" s="142"/>
      <c r="BM10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8" s="142"/>
      <c r="BR10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8" s="142"/>
      <c r="BW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8" s="61">
        <f>TblImps[[#This Row],[Login]]</f>
        <v>0</v>
      </c>
      <c r="BY108" s="137"/>
      <c r="BZ108" s="293">
        <f ca="1">OFFSET(TblImps[[#This Row],[Real time]],-1,0)+1/24</f>
        <v>46106.083333333081</v>
      </c>
      <c r="CA108" s="294">
        <f ca="1">OFFSET(TblImps[[#This Row],[Servertime]],-1,0)+1/24</f>
        <v>46106.333333333081</v>
      </c>
      <c r="CB108" s="57"/>
      <c r="CC108" s="292"/>
      <c r="CD108" s="292"/>
      <c r="CE108" s="45" t="s">
        <v>210</v>
      </c>
    </row>
    <row r="109" spans="1:83" x14ac:dyDescent="0.2">
      <c r="A109" s="214">
        <f ca="1">TblConstr[[#This Row],[Land]]</f>
        <v>110</v>
      </c>
      <c r="B109" s="142"/>
      <c r="C109" s="94">
        <f ca="1">TblProd[[#This Row],[Platinum]]</f>
        <v>205671</v>
      </c>
      <c r="D109" s="94">
        <f ca="1">TblProd[[#This Row],[Lumber]]</f>
        <v>70410</v>
      </c>
      <c r="E109" s="94">
        <f ca="1">TblProd[[#This Row],[Ore]]</f>
        <v>0</v>
      </c>
      <c r="F109" s="94">
        <f ca="1">TblProd[[#This Row],[Gems]]</f>
        <v>0</v>
      </c>
      <c r="G109" s="154"/>
      <c r="H109" s="94">
        <f ca="1">TblMili[[#This Row],[Draftees]]</f>
        <v>729</v>
      </c>
      <c r="I109" s="180">
        <f ca="1">TblPop[[#This Row],[Employment]]</f>
        <v>1</v>
      </c>
      <c r="J109" s="180">
        <f ca="1">TblPop[[#This Row],[Total]]/TblPop[[#This Row],[Net max]]</f>
        <v>1</v>
      </c>
      <c r="K109" s="283">
        <f>TblRezone[[#This Row],[Hour]]</f>
        <v>106</v>
      </c>
      <c r="L109" s="284">
        <f ca="1">TblImps[[#This Row],[Real time]]</f>
        <v>46106.124999999745</v>
      </c>
      <c r="M109" s="61">
        <f>IF(ISERROR(TblImps[[#This Row],[algorithm]]),0,TblImps[[#This Row],[algorithm]]*1)</f>
        <v>0</v>
      </c>
      <c r="N109" s="94">
        <f ca="1">TblImps[[#This Row],[Land]]</f>
        <v>110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57">
        <f ca="1">IF(OFFSET(TblMagic[[#This Row],[Active Alchemists Flame]],-1,0)&gt;0,TblConstr[[#This Row],[Tot Alc]]*alchemist_flame_invest,0)</f>
        <v>0</v>
      </c>
      <c r="BL109" s="142"/>
      <c r="BM10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9" s="142"/>
      <c r="BR10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9" s="142"/>
      <c r="BW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9" s="61">
        <f>TblImps[[#This Row],[Login]]</f>
        <v>0</v>
      </c>
      <c r="BY109" s="137"/>
      <c r="BZ109" s="293">
        <f ca="1">OFFSET(TblImps[[#This Row],[Real time]],-1,0)+1/24</f>
        <v>46106.124999999745</v>
      </c>
      <c r="CA109" s="294">
        <f ca="1">OFFSET(TblImps[[#This Row],[Servertime]],-1,0)+1/24</f>
        <v>46106.374999999745</v>
      </c>
      <c r="CB109" s="57"/>
      <c r="CC109" s="292"/>
      <c r="CD109" s="292"/>
      <c r="CE109" s="45" t="s">
        <v>211</v>
      </c>
    </row>
    <row r="110" spans="1:83" x14ac:dyDescent="0.2">
      <c r="A110" s="214">
        <f ca="1">TblConstr[[#This Row],[Land]]</f>
        <v>110</v>
      </c>
      <c r="B110" s="142"/>
      <c r="C110" s="94">
        <f ca="1">TblProd[[#This Row],[Platinum]]</f>
        <v>206607</v>
      </c>
      <c r="D110" s="94">
        <f ca="1">TblProd[[#This Row],[Lumber]]</f>
        <v>70706</v>
      </c>
      <c r="E110" s="94">
        <f ca="1">TblProd[[#This Row],[Ore]]</f>
        <v>0</v>
      </c>
      <c r="F110" s="94">
        <f ca="1">TblProd[[#This Row],[Gems]]</f>
        <v>0</v>
      </c>
      <c r="G110" s="154"/>
      <c r="H110" s="94">
        <f ca="1">TblMili[[#This Row],[Draftees]]</f>
        <v>732</v>
      </c>
      <c r="I110" s="180">
        <f ca="1">TblPop[[#This Row],[Employment]]</f>
        <v>1</v>
      </c>
      <c r="J110" s="180">
        <f ca="1">TblPop[[#This Row],[Total]]/TblPop[[#This Row],[Net max]]</f>
        <v>1</v>
      </c>
      <c r="K110" s="283">
        <f>TblRezone[[#This Row],[Hour]]</f>
        <v>107</v>
      </c>
      <c r="L110" s="284">
        <f ca="1">TblImps[[#This Row],[Real time]]</f>
        <v>46106.16666666641</v>
      </c>
      <c r="M110" s="61">
        <f>IF(ISERROR(TblImps[[#This Row],[algorithm]]),0,TblImps[[#This Row],[algorithm]]*1)</f>
        <v>0</v>
      </c>
      <c r="N110" s="94">
        <f ca="1">TblImps[[#This Row],[Land]]</f>
        <v>110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57">
        <f ca="1">IF(OFFSET(TblMagic[[#This Row],[Active Alchemists Flame]],-1,0)&gt;0,TblConstr[[#This Row],[Tot Alc]]*alchemist_flame_invest,0)</f>
        <v>0</v>
      </c>
      <c r="BL110" s="142"/>
      <c r="BM1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0" s="142"/>
      <c r="BR1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0" s="142"/>
      <c r="BW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0" s="61">
        <f>TblImps[[#This Row],[Login]]</f>
        <v>0</v>
      </c>
      <c r="BY110" s="137"/>
      <c r="BZ110" s="293">
        <f ca="1">OFFSET(TblImps[[#This Row],[Real time]],-1,0)+1/24</f>
        <v>46106.16666666641</v>
      </c>
      <c r="CA110" s="294">
        <f ca="1">OFFSET(TblImps[[#This Row],[Servertime]],-1,0)+1/24</f>
        <v>46106.41666666641</v>
      </c>
      <c r="CB110" s="57"/>
      <c r="CC110" s="292"/>
      <c r="CD110" s="292"/>
      <c r="CE110" s="45" t="s">
        <v>212</v>
      </c>
    </row>
    <row r="111" spans="1:83" x14ac:dyDescent="0.2">
      <c r="A111" s="214">
        <f ca="1">TblConstr[[#This Row],[Land]]</f>
        <v>110</v>
      </c>
      <c r="B111" s="142"/>
      <c r="C111" s="94">
        <f ca="1">TblProd[[#This Row],[Platinum]]</f>
        <v>207535</v>
      </c>
      <c r="D111" s="94">
        <f ca="1">TblProd[[#This Row],[Lumber]]</f>
        <v>70999</v>
      </c>
      <c r="E111" s="94">
        <f ca="1">TblProd[[#This Row],[Ore]]</f>
        <v>0</v>
      </c>
      <c r="F111" s="94">
        <f ca="1">TblProd[[#This Row],[Gems]]</f>
        <v>0</v>
      </c>
      <c r="G111" s="154"/>
      <c r="H111" s="94">
        <f ca="1">TblMili[[#This Row],[Draftees]]</f>
        <v>735</v>
      </c>
      <c r="I111" s="180">
        <f ca="1">TblPop[[#This Row],[Employment]]</f>
        <v>1</v>
      </c>
      <c r="J111" s="180">
        <f ca="1">TblPop[[#This Row],[Total]]/TblPop[[#This Row],[Net max]]</f>
        <v>1</v>
      </c>
      <c r="K111" s="283">
        <f>TblRezone[[#This Row],[Hour]]</f>
        <v>108</v>
      </c>
      <c r="L111" s="284">
        <f ca="1">TblImps[[#This Row],[Real time]]</f>
        <v>46106.208333333074</v>
      </c>
      <c r="M111" s="61">
        <f>IF(ISERROR(TblImps[[#This Row],[algorithm]]),0,TblImps[[#This Row],[algorithm]]*1)</f>
        <v>0</v>
      </c>
      <c r="N111" s="94">
        <f ca="1">TblImps[[#This Row],[Land]]</f>
        <v>110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57">
        <f ca="1">IF(OFFSET(TblMagic[[#This Row],[Active Alchemists Flame]],-1,0)&gt;0,TblConstr[[#This Row],[Tot Alc]]*alchemist_flame_invest,0)</f>
        <v>0</v>
      </c>
      <c r="BL111" s="142"/>
      <c r="BM1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1" s="142"/>
      <c r="BR1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1" s="142"/>
      <c r="BW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1" s="61">
        <f>TblImps[[#This Row],[Login]]</f>
        <v>0</v>
      </c>
      <c r="BY111" s="137"/>
      <c r="BZ111" s="293">
        <f ca="1">OFFSET(TblImps[[#This Row],[Real time]],-1,0)+1/24</f>
        <v>46106.208333333074</v>
      </c>
      <c r="CA111" s="294">
        <f ca="1">OFFSET(TblImps[[#This Row],[Servertime]],-1,0)+1/24</f>
        <v>46106.458333333074</v>
      </c>
      <c r="CB111" s="57"/>
      <c r="CC111" s="292"/>
      <c r="CD111" s="292"/>
      <c r="CE111" s="45" t="s">
        <v>213</v>
      </c>
    </row>
    <row r="112" spans="1:83" x14ac:dyDescent="0.2">
      <c r="A112" s="214">
        <f ca="1">TblConstr[[#This Row],[Land]]</f>
        <v>110</v>
      </c>
      <c r="B112" s="142"/>
      <c r="C112" s="94">
        <f ca="1">TblProd[[#This Row],[Platinum]]</f>
        <v>208455</v>
      </c>
      <c r="D112" s="94">
        <f ca="1">TblProd[[#This Row],[Lumber]]</f>
        <v>71289</v>
      </c>
      <c r="E112" s="94">
        <f ca="1">TblProd[[#This Row],[Ore]]</f>
        <v>0</v>
      </c>
      <c r="F112" s="94">
        <f ca="1">TblProd[[#This Row],[Gems]]</f>
        <v>0</v>
      </c>
      <c r="G112" s="154"/>
      <c r="H112" s="94">
        <f ca="1">TblMili[[#This Row],[Draftees]]</f>
        <v>738</v>
      </c>
      <c r="I112" s="180">
        <f ca="1">TblPop[[#This Row],[Employment]]</f>
        <v>1</v>
      </c>
      <c r="J112" s="180">
        <f ca="1">TblPop[[#This Row],[Total]]/TblPop[[#This Row],[Net max]]</f>
        <v>1</v>
      </c>
      <c r="K112" s="283">
        <f>TblRezone[[#This Row],[Hour]]</f>
        <v>109</v>
      </c>
      <c r="L112" s="284">
        <f ca="1">TblImps[[#This Row],[Real time]]</f>
        <v>46106.249999999738</v>
      </c>
      <c r="M112" s="61">
        <f>IF(ISERROR(TblImps[[#This Row],[algorithm]]),0,TblImps[[#This Row],[algorithm]]*1)</f>
        <v>0</v>
      </c>
      <c r="N112" s="94">
        <f ca="1">TblImps[[#This Row],[Land]]</f>
        <v>110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57">
        <f ca="1">IF(OFFSET(TblMagic[[#This Row],[Active Alchemists Flame]],-1,0)&gt;0,TblConstr[[#This Row],[Tot Alc]]*alchemist_flame_invest,0)</f>
        <v>0</v>
      </c>
      <c r="BL112" s="142"/>
      <c r="BM1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2" s="142"/>
      <c r="BR1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2" s="142"/>
      <c r="BW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2" s="61">
        <f>TblImps[[#This Row],[Login]]</f>
        <v>0</v>
      </c>
      <c r="BY112" s="137"/>
      <c r="BZ112" s="293">
        <f ca="1">OFFSET(TblImps[[#This Row],[Real time]],-1,0)+1/24</f>
        <v>46106.249999999738</v>
      </c>
      <c r="CA112" s="294">
        <f ca="1">OFFSET(TblImps[[#This Row],[Servertime]],-1,0)+1/24</f>
        <v>46106.499999999738</v>
      </c>
      <c r="CB112" s="57"/>
      <c r="CC112" s="292"/>
      <c r="CD112" s="292"/>
      <c r="CE112" s="45" t="s">
        <v>214</v>
      </c>
    </row>
    <row r="113" spans="1:82" x14ac:dyDescent="0.2">
      <c r="A113" s="214">
        <f ca="1">TblConstr[[#This Row],[Land]]</f>
        <v>110</v>
      </c>
      <c r="B113" s="142"/>
      <c r="C113" s="94">
        <f ca="1">TblProd[[#This Row],[Platinum]]</f>
        <v>209367</v>
      </c>
      <c r="D113" s="94">
        <f ca="1">TblProd[[#This Row],[Lumber]]</f>
        <v>71576</v>
      </c>
      <c r="E113" s="94">
        <f ca="1">TblProd[[#This Row],[Ore]]</f>
        <v>0</v>
      </c>
      <c r="F113" s="94">
        <f ca="1">TblProd[[#This Row],[Gems]]</f>
        <v>0</v>
      </c>
      <c r="G113" s="154"/>
      <c r="H113" s="94">
        <f ca="1">TblMili[[#This Row],[Draftees]]</f>
        <v>741</v>
      </c>
      <c r="I113" s="180">
        <f ca="1">TblPop[[#This Row],[Employment]]</f>
        <v>1</v>
      </c>
      <c r="J113" s="180">
        <f ca="1">TblPop[[#This Row],[Total]]/TblPop[[#This Row],[Net max]]</f>
        <v>1</v>
      </c>
      <c r="K113" s="283">
        <f>TblRezone[[#This Row],[Hour]]</f>
        <v>110</v>
      </c>
      <c r="L113" s="284">
        <f ca="1">TblImps[[#This Row],[Real time]]</f>
        <v>46106.291666666402</v>
      </c>
      <c r="M113" s="61">
        <f>IF(ISERROR(TblImps[[#This Row],[algorithm]]),0,TblImps[[#This Row],[algorithm]]*1)</f>
        <v>0</v>
      </c>
      <c r="N113" s="94">
        <f ca="1">TblImps[[#This Row],[Land]]</f>
        <v>110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57">
        <f ca="1">IF(OFFSET(TblMagic[[#This Row],[Active Alchemists Flame]],-1,0)&gt;0,TblConstr[[#This Row],[Tot Alc]]*alchemist_flame_invest,0)</f>
        <v>0</v>
      </c>
      <c r="BL113" s="142"/>
      <c r="BM1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3" s="142"/>
      <c r="BR1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3" s="142"/>
      <c r="BW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3" s="61">
        <f>TblImps[[#This Row],[Login]]</f>
        <v>0</v>
      </c>
      <c r="BY113" s="137"/>
      <c r="BZ113" s="293">
        <f ca="1">OFFSET(TblImps[[#This Row],[Real time]],-1,0)+1/24</f>
        <v>46106.291666666402</v>
      </c>
      <c r="CA113" s="294">
        <f ca="1">OFFSET(TblImps[[#This Row],[Servertime]],-1,0)+1/24</f>
        <v>46106.541666666402</v>
      </c>
      <c r="CB113" s="57"/>
      <c r="CC113" s="292"/>
      <c r="CD113" s="292"/>
    </row>
    <row r="114" spans="1:82" x14ac:dyDescent="0.2">
      <c r="A114" s="214">
        <f ca="1">TblConstr[[#This Row],[Land]]</f>
        <v>110</v>
      </c>
      <c r="B114" s="142"/>
      <c r="C114" s="94">
        <f ca="1">TblProd[[#This Row],[Platinum]]</f>
        <v>210271</v>
      </c>
      <c r="D114" s="94">
        <f ca="1">TblProd[[#This Row],[Lumber]]</f>
        <v>71860</v>
      </c>
      <c r="E114" s="94">
        <f ca="1">TblProd[[#This Row],[Ore]]</f>
        <v>0</v>
      </c>
      <c r="F114" s="94">
        <f ca="1">TblProd[[#This Row],[Gems]]</f>
        <v>0</v>
      </c>
      <c r="G114" s="154"/>
      <c r="H114" s="94">
        <f ca="1">TblMili[[#This Row],[Draftees]]</f>
        <v>744</v>
      </c>
      <c r="I114" s="180">
        <f ca="1">TblPop[[#This Row],[Employment]]</f>
        <v>1</v>
      </c>
      <c r="J114" s="180">
        <f ca="1">TblPop[[#This Row],[Total]]/TblPop[[#This Row],[Net max]]</f>
        <v>1</v>
      </c>
      <c r="K114" s="283">
        <f>TblRezone[[#This Row],[Hour]]</f>
        <v>111</v>
      </c>
      <c r="L114" s="284">
        <f ca="1">TblImps[[#This Row],[Real time]]</f>
        <v>46106.333333333067</v>
      </c>
      <c r="M114" s="61">
        <f>IF(ISERROR(TblImps[[#This Row],[algorithm]]),0,TblImps[[#This Row],[algorithm]]*1)</f>
        <v>0</v>
      </c>
      <c r="N114" s="94">
        <f ca="1">TblImps[[#This Row],[Land]]</f>
        <v>110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57">
        <f ca="1">IF(OFFSET(TblMagic[[#This Row],[Active Alchemists Flame]],-1,0)&gt;0,TblConstr[[#This Row],[Tot Alc]]*alchemist_flame_invest,0)</f>
        <v>0</v>
      </c>
      <c r="BL114" s="142"/>
      <c r="BM1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4" s="142"/>
      <c r="BR1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4" s="142"/>
      <c r="BW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4" s="61">
        <f>TblImps[[#This Row],[Login]]</f>
        <v>0</v>
      </c>
      <c r="BY114" s="137"/>
      <c r="BZ114" s="293">
        <f ca="1">OFFSET(TblImps[[#This Row],[Real time]],-1,0)+1/24</f>
        <v>46106.333333333067</v>
      </c>
      <c r="CA114" s="294">
        <f ca="1">OFFSET(TblImps[[#This Row],[Servertime]],-1,0)+1/24</f>
        <v>46106.583333333067</v>
      </c>
      <c r="CB114" s="297"/>
      <c r="CC114" s="292"/>
      <c r="CD114" s="292"/>
    </row>
    <row r="115" spans="1:82" x14ac:dyDescent="0.2">
      <c r="A115" s="214">
        <f ca="1">TblConstr[[#This Row],[Land]]</f>
        <v>110</v>
      </c>
      <c r="B115" s="142"/>
      <c r="C115" s="94">
        <f ca="1">TblProd[[#This Row],[Platinum]]</f>
        <v>211167</v>
      </c>
      <c r="D115" s="94">
        <f ca="1">TblProd[[#This Row],[Lumber]]</f>
        <v>72141</v>
      </c>
      <c r="E115" s="94">
        <f ca="1">TblProd[[#This Row],[Ore]]</f>
        <v>0</v>
      </c>
      <c r="F115" s="94">
        <f ca="1">TblProd[[#This Row],[Gems]]</f>
        <v>0</v>
      </c>
      <c r="G115" s="154"/>
      <c r="H115" s="94">
        <f ca="1">TblMili[[#This Row],[Draftees]]</f>
        <v>747</v>
      </c>
      <c r="I115" s="180">
        <f ca="1">TblPop[[#This Row],[Employment]]</f>
        <v>1</v>
      </c>
      <c r="J115" s="180">
        <f ca="1">TblPop[[#This Row],[Total]]/TblPop[[#This Row],[Net max]]</f>
        <v>1</v>
      </c>
      <c r="K115" s="283">
        <f>TblRezone[[#This Row],[Hour]]</f>
        <v>112</v>
      </c>
      <c r="L115" s="284">
        <f ca="1">TblImps[[#This Row],[Real time]]</f>
        <v>46106.374999999731</v>
      </c>
      <c r="M115" s="61">
        <f>IF(ISERROR(TblImps[[#This Row],[algorithm]]),0,TblImps[[#This Row],[algorithm]]*1)</f>
        <v>0</v>
      </c>
      <c r="N115" s="94">
        <f ca="1">TblImps[[#This Row],[Land]]</f>
        <v>110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57">
        <f ca="1">IF(OFFSET(TblMagic[[#This Row],[Active Alchemists Flame]],-1,0)&gt;0,TblConstr[[#This Row],[Tot Alc]]*alchemist_flame_invest,0)</f>
        <v>0</v>
      </c>
      <c r="BL115" s="142"/>
      <c r="BM1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5" s="142"/>
      <c r="BR1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5" s="142"/>
      <c r="BW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5" s="61">
        <f>TblImps[[#This Row],[Login]]</f>
        <v>0</v>
      </c>
      <c r="BY115" s="137"/>
      <c r="BZ115" s="293">
        <f ca="1">OFFSET(TblImps[[#This Row],[Real time]],-1,0)+1/24</f>
        <v>46106.374999999731</v>
      </c>
      <c r="CA115" s="294">
        <f ca="1">OFFSET(TblImps[[#This Row],[Servertime]],-1,0)+1/24</f>
        <v>46106.624999999731</v>
      </c>
      <c r="CB115" s="57"/>
      <c r="CC115" s="292"/>
      <c r="CD115" s="292"/>
    </row>
    <row r="116" spans="1:82" x14ac:dyDescent="0.2">
      <c r="A116" s="214">
        <f ca="1">TblConstr[[#This Row],[Land]]</f>
        <v>110</v>
      </c>
      <c r="B116" s="142"/>
      <c r="C116" s="94">
        <f ca="1">TblProd[[#This Row],[Platinum]]</f>
        <v>212055</v>
      </c>
      <c r="D116" s="94">
        <f ca="1">TblProd[[#This Row],[Lumber]]</f>
        <v>72420</v>
      </c>
      <c r="E116" s="94">
        <f ca="1">TblProd[[#This Row],[Ore]]</f>
        <v>0</v>
      </c>
      <c r="F116" s="94">
        <f ca="1">TblProd[[#This Row],[Gems]]</f>
        <v>0</v>
      </c>
      <c r="G116" s="154"/>
      <c r="H116" s="94">
        <f ca="1">TblMili[[#This Row],[Draftees]]</f>
        <v>750</v>
      </c>
      <c r="I116" s="180">
        <f ca="1">TblPop[[#This Row],[Employment]]</f>
        <v>1</v>
      </c>
      <c r="J116" s="180">
        <f ca="1">TblPop[[#This Row],[Total]]/TblPop[[#This Row],[Net max]]</f>
        <v>1</v>
      </c>
      <c r="K116" s="283">
        <f>TblRezone[[#This Row],[Hour]]</f>
        <v>113</v>
      </c>
      <c r="L116" s="284">
        <f ca="1">TblImps[[#This Row],[Real time]]</f>
        <v>46106.416666666395</v>
      </c>
      <c r="M116" s="61">
        <f>IF(ISERROR(TblImps[[#This Row],[algorithm]]),0,TblImps[[#This Row],[algorithm]]*1)</f>
        <v>0</v>
      </c>
      <c r="N116" s="94">
        <f ca="1">TblImps[[#This Row],[Land]]</f>
        <v>110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57">
        <f ca="1">IF(OFFSET(TblMagic[[#This Row],[Active Alchemists Flame]],-1,0)&gt;0,TblConstr[[#This Row],[Tot Alc]]*alchemist_flame_invest,0)</f>
        <v>0</v>
      </c>
      <c r="BL116" s="142"/>
      <c r="BM1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6" s="142"/>
      <c r="BR1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6" s="142"/>
      <c r="BW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6" s="61">
        <f>TblImps[[#This Row],[Login]]</f>
        <v>0</v>
      </c>
      <c r="BY116" s="137"/>
      <c r="BZ116" s="293">
        <f ca="1">OFFSET(TblImps[[#This Row],[Real time]],-1,0)+1/24</f>
        <v>46106.416666666395</v>
      </c>
      <c r="CA116" s="294">
        <f ca="1">OFFSET(TblImps[[#This Row],[Servertime]],-1,0)+1/24</f>
        <v>46106.666666666395</v>
      </c>
      <c r="CB116" s="57"/>
      <c r="CC116" s="292"/>
      <c r="CD116" s="292"/>
    </row>
    <row r="117" spans="1:82" x14ac:dyDescent="0.2">
      <c r="A117" s="214">
        <f ca="1">TblConstr[[#This Row],[Land]]</f>
        <v>110</v>
      </c>
      <c r="B117" s="142"/>
      <c r="C117" s="94">
        <f ca="1">TblProd[[#This Row],[Platinum]]</f>
        <v>212935</v>
      </c>
      <c r="D117" s="94">
        <f ca="1">TblProd[[#This Row],[Lumber]]</f>
        <v>72696</v>
      </c>
      <c r="E117" s="94">
        <f ca="1">TblProd[[#This Row],[Ore]]</f>
        <v>0</v>
      </c>
      <c r="F117" s="94">
        <f ca="1">TblProd[[#This Row],[Gems]]</f>
        <v>0</v>
      </c>
      <c r="G117" s="154"/>
      <c r="H117" s="94">
        <f ca="1">TblMili[[#This Row],[Draftees]]</f>
        <v>753</v>
      </c>
      <c r="I117" s="180">
        <f ca="1">TblPop[[#This Row],[Employment]]</f>
        <v>1</v>
      </c>
      <c r="J117" s="180">
        <f ca="1">TblPop[[#This Row],[Total]]/TblPop[[#This Row],[Net max]]</f>
        <v>1</v>
      </c>
      <c r="K117" s="283">
        <f>TblRezone[[#This Row],[Hour]]</f>
        <v>114</v>
      </c>
      <c r="L117" s="284">
        <f ca="1">TblImps[[#This Row],[Real time]]</f>
        <v>46106.458333333059</v>
      </c>
      <c r="M117" s="61">
        <f>IF(ISERROR(TblImps[[#This Row],[algorithm]]),0,TblImps[[#This Row],[algorithm]]*1)</f>
        <v>0</v>
      </c>
      <c r="N117" s="94">
        <f ca="1">TblImps[[#This Row],[Land]]</f>
        <v>110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57">
        <f ca="1">IF(OFFSET(TblMagic[[#This Row],[Active Alchemists Flame]],-1,0)&gt;0,TblConstr[[#This Row],[Tot Alc]]*alchemist_flame_invest,0)</f>
        <v>0</v>
      </c>
      <c r="BL117" s="142"/>
      <c r="BM1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7" s="142"/>
      <c r="BR1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7" s="142"/>
      <c r="BW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7" s="61">
        <f>TblImps[[#This Row],[Login]]</f>
        <v>0</v>
      </c>
      <c r="BY117" s="137"/>
      <c r="BZ117" s="293">
        <f ca="1">OFFSET(TblImps[[#This Row],[Real time]],-1,0)+1/24</f>
        <v>46106.458333333059</v>
      </c>
      <c r="CA117" s="294">
        <f ca="1">OFFSET(TblImps[[#This Row],[Servertime]],-1,0)+1/24</f>
        <v>46106.708333333059</v>
      </c>
      <c r="CB117" s="57"/>
      <c r="CC117" s="292"/>
      <c r="CD117" s="292"/>
    </row>
    <row r="118" spans="1:82" x14ac:dyDescent="0.2">
      <c r="A118" s="214">
        <f ca="1">TblConstr[[#This Row],[Land]]</f>
        <v>110</v>
      </c>
      <c r="B118" s="142"/>
      <c r="C118" s="94">
        <f ca="1">TblProd[[#This Row],[Platinum]]</f>
        <v>213807</v>
      </c>
      <c r="D118" s="94">
        <f ca="1">TblProd[[#This Row],[Lumber]]</f>
        <v>72969</v>
      </c>
      <c r="E118" s="94">
        <f ca="1">TblProd[[#This Row],[Ore]]</f>
        <v>0</v>
      </c>
      <c r="F118" s="94">
        <f ca="1">TblProd[[#This Row],[Gems]]</f>
        <v>0</v>
      </c>
      <c r="G118" s="154"/>
      <c r="H118" s="94">
        <f ca="1">TblMili[[#This Row],[Draftees]]</f>
        <v>756</v>
      </c>
      <c r="I118" s="180">
        <f ca="1">TblPop[[#This Row],[Employment]]</f>
        <v>1</v>
      </c>
      <c r="J118" s="180">
        <f ca="1">TblPop[[#This Row],[Total]]/TblPop[[#This Row],[Net max]]</f>
        <v>1</v>
      </c>
      <c r="K118" s="283">
        <f>TblRezone[[#This Row],[Hour]]</f>
        <v>115</v>
      </c>
      <c r="L118" s="284">
        <f ca="1">TblImps[[#This Row],[Real time]]</f>
        <v>46106.499999999724</v>
      </c>
      <c r="M118" s="61">
        <f>IF(ISERROR(TblImps[[#This Row],[algorithm]]),0,TblImps[[#This Row],[algorithm]]*1)</f>
        <v>0</v>
      </c>
      <c r="N118" s="94">
        <f ca="1">TblImps[[#This Row],[Land]]</f>
        <v>110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57">
        <f ca="1">IF(OFFSET(TblMagic[[#This Row],[Active Alchemists Flame]],-1,0)&gt;0,TblConstr[[#This Row],[Tot Alc]]*alchemist_flame_invest,0)</f>
        <v>0</v>
      </c>
      <c r="BL118" s="142"/>
      <c r="BM1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8" s="142"/>
      <c r="BR1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8" s="142"/>
      <c r="BW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8" s="61">
        <f>TblImps[[#This Row],[Login]]</f>
        <v>0</v>
      </c>
      <c r="BY118" s="137"/>
      <c r="BZ118" s="293">
        <f ca="1">OFFSET(TblImps[[#This Row],[Real time]],-1,0)+1/24</f>
        <v>46106.499999999724</v>
      </c>
      <c r="CA118" s="294">
        <f ca="1">OFFSET(TblImps[[#This Row],[Servertime]],-1,0)+1/24</f>
        <v>46106.749999999724</v>
      </c>
      <c r="CB118" s="57"/>
      <c r="CC118" s="292"/>
      <c r="CD118" s="292"/>
    </row>
    <row r="119" spans="1:82" x14ac:dyDescent="0.2">
      <c r="A119" s="214">
        <f ca="1">TblConstr[[#This Row],[Land]]</f>
        <v>110</v>
      </c>
      <c r="B119" s="142"/>
      <c r="C119" s="94">
        <f ca="1">TblProd[[#This Row],[Platinum]]</f>
        <v>214671</v>
      </c>
      <c r="D119" s="94">
        <f ca="1">TblProd[[#This Row],[Lumber]]</f>
        <v>73239</v>
      </c>
      <c r="E119" s="94">
        <f ca="1">TblProd[[#This Row],[Ore]]</f>
        <v>0</v>
      </c>
      <c r="F119" s="94">
        <f ca="1">TblProd[[#This Row],[Gems]]</f>
        <v>0</v>
      </c>
      <c r="G119" s="154"/>
      <c r="H119" s="94">
        <f ca="1">TblMili[[#This Row],[Draftees]]</f>
        <v>759</v>
      </c>
      <c r="I119" s="180">
        <f ca="1">TblPop[[#This Row],[Employment]]</f>
        <v>1</v>
      </c>
      <c r="J119" s="180">
        <f ca="1">TblPop[[#This Row],[Total]]/TblPop[[#This Row],[Net max]]</f>
        <v>1</v>
      </c>
      <c r="K119" s="283">
        <f>TblRezone[[#This Row],[Hour]]</f>
        <v>116</v>
      </c>
      <c r="L119" s="284">
        <f ca="1">TblImps[[#This Row],[Real time]]</f>
        <v>46106.541666666388</v>
      </c>
      <c r="M119" s="61">
        <f>IF(ISERROR(TblImps[[#This Row],[algorithm]]),0,TblImps[[#This Row],[algorithm]]*1)</f>
        <v>0</v>
      </c>
      <c r="N119" s="94">
        <f ca="1">TblImps[[#This Row],[Land]]</f>
        <v>110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57">
        <f ca="1">IF(OFFSET(TblMagic[[#This Row],[Active Alchemists Flame]],-1,0)&gt;0,TblConstr[[#This Row],[Tot Alc]]*alchemist_flame_invest,0)</f>
        <v>0</v>
      </c>
      <c r="BL119" s="142"/>
      <c r="BM1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9" s="142"/>
      <c r="BR1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9" s="142"/>
      <c r="BW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9" s="61">
        <f>TblImps[[#This Row],[Login]]</f>
        <v>0</v>
      </c>
      <c r="BY119" s="137"/>
      <c r="BZ119" s="293">
        <f ca="1">OFFSET(TblImps[[#This Row],[Real time]],-1,0)+1/24</f>
        <v>46106.541666666388</v>
      </c>
      <c r="CA119" s="294">
        <f ca="1">OFFSET(TblImps[[#This Row],[Servertime]],-1,0)+1/24</f>
        <v>46106.791666666388</v>
      </c>
      <c r="CB119" s="57"/>
      <c r="CC119" s="292"/>
      <c r="CD119" s="292"/>
    </row>
    <row r="120" spans="1:82" x14ac:dyDescent="0.2">
      <c r="A120" s="214">
        <f ca="1">TblConstr[[#This Row],[Land]]</f>
        <v>110</v>
      </c>
      <c r="B120" s="142"/>
      <c r="C120" s="94">
        <f ca="1">TblProd[[#This Row],[Platinum]]</f>
        <v>215526</v>
      </c>
      <c r="D120" s="94">
        <f ca="1">TblProd[[#This Row],[Lumber]]</f>
        <v>73507</v>
      </c>
      <c r="E120" s="94">
        <f ca="1">TblProd[[#This Row],[Ore]]</f>
        <v>0</v>
      </c>
      <c r="F120" s="94">
        <f ca="1">TblProd[[#This Row],[Gems]]</f>
        <v>0</v>
      </c>
      <c r="G120" s="154"/>
      <c r="H120" s="94">
        <f ca="1">TblMili[[#This Row],[Draftees]]</f>
        <v>762</v>
      </c>
      <c r="I120" s="180">
        <f ca="1">TblPop[[#This Row],[Employment]]</f>
        <v>1</v>
      </c>
      <c r="J120" s="180">
        <f ca="1">TblPop[[#This Row],[Total]]/TblPop[[#This Row],[Net max]]</f>
        <v>1</v>
      </c>
      <c r="K120" s="283">
        <f>TblRezone[[#This Row],[Hour]]</f>
        <v>117</v>
      </c>
      <c r="L120" s="284">
        <f ca="1">TblImps[[#This Row],[Real time]]</f>
        <v>46106.583333333052</v>
      </c>
      <c r="M120" s="61">
        <f>IF(ISERROR(TblImps[[#This Row],[algorithm]]),0,TblImps[[#This Row],[algorithm]]*1)</f>
        <v>0</v>
      </c>
      <c r="N120" s="94">
        <f ca="1">TblImps[[#This Row],[Land]]</f>
        <v>110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57">
        <f ca="1">IF(OFFSET(TblMagic[[#This Row],[Active Alchemists Flame]],-1,0)&gt;0,TblConstr[[#This Row],[Tot Alc]]*alchemist_flame_invest,0)</f>
        <v>0</v>
      </c>
      <c r="BL120" s="142"/>
      <c r="BM1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0" s="142"/>
      <c r="BR1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0" s="142"/>
      <c r="BW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0" s="61">
        <f>TblImps[[#This Row],[Login]]</f>
        <v>0</v>
      </c>
      <c r="BY120" s="137"/>
      <c r="BZ120" s="293">
        <f ca="1">OFFSET(TblImps[[#This Row],[Real time]],-1,0)+1/24</f>
        <v>46106.583333333052</v>
      </c>
      <c r="CA120" s="294">
        <f ca="1">OFFSET(TblImps[[#This Row],[Servertime]],-1,0)+1/24</f>
        <v>46106.833333333052</v>
      </c>
      <c r="CB120" s="57"/>
      <c r="CC120" s="292"/>
      <c r="CD120" s="292"/>
    </row>
    <row r="121" spans="1:82" x14ac:dyDescent="0.2">
      <c r="A121" s="214">
        <f ca="1">TblConstr[[#This Row],[Land]]</f>
        <v>110</v>
      </c>
      <c r="B121" s="142"/>
      <c r="C121" s="94">
        <f ca="1">TblProd[[#This Row],[Platinum]]</f>
        <v>216373</v>
      </c>
      <c r="D121" s="94">
        <f ca="1">TblProd[[#This Row],[Lumber]]</f>
        <v>73772</v>
      </c>
      <c r="E121" s="94">
        <f ca="1">TblProd[[#This Row],[Ore]]</f>
        <v>0</v>
      </c>
      <c r="F121" s="94">
        <f ca="1">TblProd[[#This Row],[Gems]]</f>
        <v>0</v>
      </c>
      <c r="G121" s="154"/>
      <c r="H121" s="94">
        <f ca="1">TblMili[[#This Row],[Draftees]]</f>
        <v>765</v>
      </c>
      <c r="I121" s="180">
        <f ca="1">TblPop[[#This Row],[Employment]]</f>
        <v>1</v>
      </c>
      <c r="J121" s="180">
        <f ca="1">TblPop[[#This Row],[Total]]/TblPop[[#This Row],[Net max]]</f>
        <v>1</v>
      </c>
      <c r="K121" s="283">
        <f>TblRezone[[#This Row],[Hour]]</f>
        <v>118</v>
      </c>
      <c r="L121" s="284">
        <f ca="1">TblImps[[#This Row],[Real time]]</f>
        <v>46106.624999999716</v>
      </c>
      <c r="M121" s="61">
        <f>IF(ISERROR(TblImps[[#This Row],[algorithm]]),0,TblImps[[#This Row],[algorithm]]*1)</f>
        <v>0</v>
      </c>
      <c r="N121" s="94">
        <f ca="1">TblImps[[#This Row],[Land]]</f>
        <v>110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57">
        <f ca="1">IF(OFFSET(TblMagic[[#This Row],[Active Alchemists Flame]],-1,0)&gt;0,TblConstr[[#This Row],[Tot Alc]]*alchemist_flame_invest,0)</f>
        <v>0</v>
      </c>
      <c r="BL121" s="142"/>
      <c r="BM1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1" s="142"/>
      <c r="BR1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1" s="142"/>
      <c r="BW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1" s="61">
        <f>TblImps[[#This Row],[Login]]</f>
        <v>0</v>
      </c>
      <c r="BY121" s="137"/>
      <c r="BZ121" s="293">
        <f ca="1">OFFSET(TblImps[[#This Row],[Real time]],-1,0)+1/24</f>
        <v>46106.624999999716</v>
      </c>
      <c r="CA121" s="294">
        <f ca="1">OFFSET(TblImps[[#This Row],[Servertime]],-1,0)+1/24</f>
        <v>46106.874999999716</v>
      </c>
      <c r="CB121" s="57"/>
      <c r="CC121" s="292"/>
      <c r="CD121" s="292"/>
    </row>
    <row r="122" spans="1:82" x14ac:dyDescent="0.2">
      <c r="A122" s="214">
        <f ca="1">TblConstr[[#This Row],[Land]]</f>
        <v>110</v>
      </c>
      <c r="B122" s="142"/>
      <c r="C122" s="94">
        <f ca="1">TblProd[[#This Row],[Platinum]]</f>
        <v>217212</v>
      </c>
      <c r="D122" s="94">
        <f ca="1">TblProd[[#This Row],[Lumber]]</f>
        <v>74034</v>
      </c>
      <c r="E122" s="94">
        <f ca="1">TblProd[[#This Row],[Ore]]</f>
        <v>0</v>
      </c>
      <c r="F122" s="94">
        <f ca="1">TblProd[[#This Row],[Gems]]</f>
        <v>0</v>
      </c>
      <c r="G122" s="154"/>
      <c r="H122" s="94">
        <f ca="1">TblMili[[#This Row],[Draftees]]</f>
        <v>768</v>
      </c>
      <c r="I122" s="180">
        <f ca="1">TblPop[[#This Row],[Employment]]</f>
        <v>1</v>
      </c>
      <c r="J122" s="180">
        <f ca="1">TblPop[[#This Row],[Total]]/TblPop[[#This Row],[Net max]]</f>
        <v>1</v>
      </c>
      <c r="K122" s="283">
        <f>TblRezone[[#This Row],[Hour]]</f>
        <v>119</v>
      </c>
      <c r="L122" s="284">
        <f ca="1">TblImps[[#This Row],[Real time]]</f>
        <v>46106.66666666638</v>
      </c>
      <c r="M122" s="61">
        <f>IF(ISERROR(TblImps[[#This Row],[algorithm]]),0,TblImps[[#This Row],[algorithm]]*1)</f>
        <v>0</v>
      </c>
      <c r="N122" s="94">
        <f ca="1">TblImps[[#This Row],[Land]]</f>
        <v>110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57">
        <f ca="1">IF(OFFSET(TblMagic[[#This Row],[Active Alchemists Flame]],-1,0)&gt;0,TblConstr[[#This Row],[Tot Alc]]*alchemist_flame_invest,0)</f>
        <v>0</v>
      </c>
      <c r="BL122" s="142"/>
      <c r="BM1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2" s="142"/>
      <c r="BR1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2" s="142"/>
      <c r="BW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2" s="61">
        <f>TblImps[[#This Row],[Login]]</f>
        <v>0</v>
      </c>
      <c r="BY122" s="137"/>
      <c r="BZ122" s="293">
        <f ca="1">OFFSET(TblImps[[#This Row],[Real time]],-1,0)+1/24</f>
        <v>46106.66666666638</v>
      </c>
      <c r="CA122" s="294">
        <f ca="1">OFFSET(TblImps[[#This Row],[Servertime]],-1,0)+1/24</f>
        <v>46106.91666666638</v>
      </c>
      <c r="CB122" s="57"/>
      <c r="CC122" s="292"/>
      <c r="CD122" s="292"/>
    </row>
    <row r="123" spans="1:82" x14ac:dyDescent="0.2">
      <c r="A123" s="214">
        <f ca="1">TblConstr[[#This Row],[Land]]</f>
        <v>110</v>
      </c>
      <c r="B123" s="142"/>
      <c r="C123" s="94">
        <f ca="1">TblProd[[#This Row],[Platinum]]</f>
        <v>218043</v>
      </c>
      <c r="D123" s="94">
        <f ca="1">TblProd[[#This Row],[Lumber]]</f>
        <v>74294</v>
      </c>
      <c r="E123" s="94">
        <f ca="1">TblProd[[#This Row],[Ore]]</f>
        <v>0</v>
      </c>
      <c r="F123" s="94">
        <f ca="1">TblProd[[#This Row],[Gems]]</f>
        <v>0</v>
      </c>
      <c r="G123" s="154"/>
      <c r="H123" s="94">
        <f ca="1">TblMili[[#This Row],[Draftees]]</f>
        <v>771</v>
      </c>
      <c r="I123" s="180">
        <f ca="1">TblPop[[#This Row],[Employment]]</f>
        <v>1</v>
      </c>
      <c r="J123" s="180">
        <f ca="1">TblPop[[#This Row],[Total]]/TblPop[[#This Row],[Net max]]</f>
        <v>1</v>
      </c>
      <c r="K123" s="283">
        <f>TblRezone[[#This Row],[Hour]]</f>
        <v>120</v>
      </c>
      <c r="L123" s="284">
        <f ca="1">TblImps[[#This Row],[Real time]]</f>
        <v>46106.708333333045</v>
      </c>
      <c r="M123" s="61">
        <f>IF(ISERROR(TblImps[[#This Row],[algorithm]]),0,TblImps[[#This Row],[algorithm]]*1)</f>
        <v>0</v>
      </c>
      <c r="N123" s="94">
        <f ca="1">TblImps[[#This Row],[Land]]</f>
        <v>110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57">
        <f ca="1">IF(OFFSET(TblMagic[[#This Row],[Active Alchemists Flame]],-1,0)&gt;0,TblConstr[[#This Row],[Tot Alc]]*alchemist_flame_invest,0)</f>
        <v>0</v>
      </c>
      <c r="BL123" s="142"/>
      <c r="BM1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3" s="142"/>
      <c r="BR1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3" s="142"/>
      <c r="BW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3" s="61">
        <f>TblImps[[#This Row],[Login]]</f>
        <v>0</v>
      </c>
      <c r="BY123" s="137"/>
      <c r="BZ123" s="293">
        <f ca="1">OFFSET(TblImps[[#This Row],[Real time]],-1,0)+1/24</f>
        <v>46106.708333333045</v>
      </c>
      <c r="CA123" s="294">
        <f ca="1">OFFSET(TblImps[[#This Row],[Servertime]],-1,0)+1/24</f>
        <v>46106.958333333045</v>
      </c>
      <c r="CB123" s="57"/>
      <c r="CC123" s="292"/>
      <c r="CD123" s="292"/>
    </row>
    <row r="124" spans="1:82" x14ac:dyDescent="0.2">
      <c r="A124" s="214">
        <f ca="1">TblConstr[[#This Row],[Land]]</f>
        <v>110</v>
      </c>
      <c r="B124" s="142"/>
      <c r="C124" s="94">
        <f ca="1">TblProd[[#This Row],[Platinum]]</f>
        <v>218866</v>
      </c>
      <c r="D124" s="94">
        <f ca="1">TblProd[[#This Row],[Lumber]]</f>
        <v>74551</v>
      </c>
      <c r="E124" s="94">
        <f ca="1">TblProd[[#This Row],[Ore]]</f>
        <v>0</v>
      </c>
      <c r="F124" s="94">
        <f ca="1">TblProd[[#This Row],[Gems]]</f>
        <v>0</v>
      </c>
      <c r="G124" s="154"/>
      <c r="H124" s="94">
        <f ca="1">TblMili[[#This Row],[Draftees]]</f>
        <v>774</v>
      </c>
      <c r="I124" s="180">
        <f ca="1">TblPop[[#This Row],[Employment]]</f>
        <v>1</v>
      </c>
      <c r="J124" s="180">
        <f ca="1">TblPop[[#This Row],[Total]]/TblPop[[#This Row],[Net max]]</f>
        <v>1</v>
      </c>
      <c r="K124" s="283">
        <f>TblRezone[[#This Row],[Hour]]</f>
        <v>121</v>
      </c>
      <c r="L124" s="284">
        <f ca="1">TblImps[[#This Row],[Real time]]</f>
        <v>46106.749999999709</v>
      </c>
      <c r="M124" s="61">
        <f>IF(ISERROR(TblImps[[#This Row],[algorithm]]),0,TblImps[[#This Row],[algorithm]]*1)</f>
        <v>0</v>
      </c>
      <c r="N124" s="94">
        <f ca="1">TblImps[[#This Row],[Land]]</f>
        <v>110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57">
        <f ca="1">IF(OFFSET(TblMagic[[#This Row],[Active Alchemists Flame]],-1,0)&gt;0,TblConstr[[#This Row],[Tot Alc]]*alchemist_flame_invest,0)</f>
        <v>0</v>
      </c>
      <c r="BL124" s="142"/>
      <c r="BM1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4" s="142"/>
      <c r="BR1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4" s="142"/>
      <c r="BW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4" s="61">
        <f>TblImps[[#This Row],[Login]]</f>
        <v>0</v>
      </c>
      <c r="BY124" s="137"/>
      <c r="BZ124" s="293">
        <f ca="1">OFFSET(TblImps[[#This Row],[Real time]],-1,0)+1/24</f>
        <v>46106.749999999709</v>
      </c>
      <c r="CA124" s="294">
        <f ca="1">OFFSET(TblImps[[#This Row],[Servertime]],-1,0)+1/24</f>
        <v>46106.999999999709</v>
      </c>
      <c r="CB124" s="57"/>
      <c r="CC124" s="292"/>
      <c r="CD124" s="292"/>
    </row>
    <row r="125" spans="1:82" x14ac:dyDescent="0.2">
      <c r="A125" s="214">
        <f ca="1">TblConstr[[#This Row],[Land]]</f>
        <v>110</v>
      </c>
      <c r="B125" s="142"/>
      <c r="C125" s="94">
        <f ca="1">TblProd[[#This Row],[Platinum]]</f>
        <v>219681</v>
      </c>
      <c r="D125" s="94">
        <f ca="1">TblProd[[#This Row],[Lumber]]</f>
        <v>74805</v>
      </c>
      <c r="E125" s="94">
        <f ca="1">TblProd[[#This Row],[Ore]]</f>
        <v>0</v>
      </c>
      <c r="F125" s="94">
        <f ca="1">TblProd[[#This Row],[Gems]]</f>
        <v>0</v>
      </c>
      <c r="G125" s="154"/>
      <c r="H125" s="94">
        <f ca="1">TblMili[[#This Row],[Draftees]]</f>
        <v>777</v>
      </c>
      <c r="I125" s="180">
        <f ca="1">TblPop[[#This Row],[Employment]]</f>
        <v>1</v>
      </c>
      <c r="J125" s="180">
        <f ca="1">TblPop[[#This Row],[Total]]/TblPop[[#This Row],[Net max]]</f>
        <v>1</v>
      </c>
      <c r="K125" s="283">
        <f>TblRezone[[#This Row],[Hour]]</f>
        <v>122</v>
      </c>
      <c r="L125" s="284">
        <f ca="1">TblImps[[#This Row],[Real time]]</f>
        <v>46106.791666666373</v>
      </c>
      <c r="M125" s="61">
        <f>IF(ISERROR(TblImps[[#This Row],[algorithm]]),0,TblImps[[#This Row],[algorithm]]*1)</f>
        <v>0</v>
      </c>
      <c r="N125" s="94">
        <f ca="1">TblImps[[#This Row],[Land]]</f>
        <v>110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57">
        <f ca="1">IF(OFFSET(TblMagic[[#This Row],[Active Alchemists Flame]],-1,0)&gt;0,TblConstr[[#This Row],[Tot Alc]]*alchemist_flame_invest,0)</f>
        <v>0</v>
      </c>
      <c r="BL125" s="142"/>
      <c r="BM1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5" s="142"/>
      <c r="BR1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5" s="142"/>
      <c r="BW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5" s="61">
        <f>TblImps[[#This Row],[Login]]</f>
        <v>0</v>
      </c>
      <c r="BY125" s="137"/>
      <c r="BZ125" s="293">
        <f ca="1">OFFSET(TblImps[[#This Row],[Real time]],-1,0)+1/24</f>
        <v>46106.791666666373</v>
      </c>
      <c r="CA125" s="294">
        <f ca="1">OFFSET(TblImps[[#This Row],[Servertime]],-1,0)+1/24</f>
        <v>46107.041666666373</v>
      </c>
      <c r="CB125" s="57"/>
      <c r="CC125" s="292"/>
      <c r="CD125" s="292"/>
    </row>
    <row r="126" spans="1:82" x14ac:dyDescent="0.2">
      <c r="A126" s="214">
        <f ca="1">TblConstr[[#This Row],[Land]]</f>
        <v>110</v>
      </c>
      <c r="B126" s="142"/>
      <c r="C126" s="94">
        <f ca="1">TblProd[[#This Row],[Platinum]]</f>
        <v>220488</v>
      </c>
      <c r="D126" s="94">
        <f ca="1">TblProd[[#This Row],[Lumber]]</f>
        <v>75057</v>
      </c>
      <c r="E126" s="94">
        <f ca="1">TblProd[[#This Row],[Ore]]</f>
        <v>0</v>
      </c>
      <c r="F126" s="94">
        <f ca="1">TblProd[[#This Row],[Gems]]</f>
        <v>0</v>
      </c>
      <c r="G126" s="154"/>
      <c r="H126" s="94">
        <f ca="1">TblMili[[#This Row],[Draftees]]</f>
        <v>780</v>
      </c>
      <c r="I126" s="180">
        <f ca="1">TblPop[[#This Row],[Employment]]</f>
        <v>1</v>
      </c>
      <c r="J126" s="180">
        <f ca="1">TblPop[[#This Row],[Total]]/TblPop[[#This Row],[Net max]]</f>
        <v>1</v>
      </c>
      <c r="K126" s="283">
        <f>TblRezone[[#This Row],[Hour]]</f>
        <v>123</v>
      </c>
      <c r="L126" s="284">
        <f ca="1">TblImps[[#This Row],[Real time]]</f>
        <v>46106.833333333037</v>
      </c>
      <c r="M126" s="61">
        <f>IF(ISERROR(TblImps[[#This Row],[algorithm]]),0,TblImps[[#This Row],[algorithm]]*1)</f>
        <v>0</v>
      </c>
      <c r="N126" s="94">
        <f ca="1">TblImps[[#This Row],[Land]]</f>
        <v>110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57">
        <f ca="1">IF(OFFSET(TblMagic[[#This Row],[Active Alchemists Flame]],-1,0)&gt;0,TblConstr[[#This Row],[Tot Alc]]*alchemist_flame_invest,0)</f>
        <v>0</v>
      </c>
      <c r="BL126" s="142"/>
      <c r="BM1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6" s="142"/>
      <c r="BR1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6" s="142"/>
      <c r="BW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6" s="61">
        <f>TblImps[[#This Row],[Login]]</f>
        <v>0</v>
      </c>
      <c r="BY126" s="137"/>
      <c r="BZ126" s="293">
        <f ca="1">OFFSET(TblImps[[#This Row],[Real time]],-1,0)+1/24</f>
        <v>46106.833333333037</v>
      </c>
      <c r="CA126" s="294">
        <f ca="1">OFFSET(TblImps[[#This Row],[Servertime]],-1,0)+1/24</f>
        <v>46107.083333333037</v>
      </c>
      <c r="CB126" s="57"/>
      <c r="CC126" s="292"/>
      <c r="CD126" s="292"/>
    </row>
    <row r="127" spans="1:82" x14ac:dyDescent="0.2">
      <c r="A127" s="214">
        <f ca="1">TblConstr[[#This Row],[Land]]</f>
        <v>110</v>
      </c>
      <c r="B127" s="142"/>
      <c r="C127" s="94">
        <f ca="1">TblProd[[#This Row],[Platinum]]</f>
        <v>221287</v>
      </c>
      <c r="D127" s="94">
        <f ca="1">TblProd[[#This Row],[Lumber]]</f>
        <v>75306</v>
      </c>
      <c r="E127" s="94">
        <f ca="1">TblProd[[#This Row],[Ore]]</f>
        <v>0</v>
      </c>
      <c r="F127" s="94">
        <f ca="1">TblProd[[#This Row],[Gems]]</f>
        <v>0</v>
      </c>
      <c r="G127" s="154"/>
      <c r="H127" s="94">
        <f ca="1">TblMili[[#This Row],[Draftees]]</f>
        <v>783</v>
      </c>
      <c r="I127" s="180">
        <f ca="1">TblPop[[#This Row],[Employment]]</f>
        <v>1</v>
      </c>
      <c r="J127" s="180">
        <f ca="1">TblPop[[#This Row],[Total]]/TblPop[[#This Row],[Net max]]</f>
        <v>1</v>
      </c>
      <c r="K127" s="283">
        <f>TblRezone[[#This Row],[Hour]]</f>
        <v>124</v>
      </c>
      <c r="L127" s="284">
        <f ca="1">TblImps[[#This Row],[Real time]]</f>
        <v>46106.874999999702</v>
      </c>
      <c r="M127" s="61">
        <f>IF(ISERROR(TblImps[[#This Row],[algorithm]]),0,TblImps[[#This Row],[algorithm]]*1)</f>
        <v>0</v>
      </c>
      <c r="N127" s="94">
        <f ca="1">TblImps[[#This Row],[Land]]</f>
        <v>110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57">
        <f ca="1">IF(OFFSET(TblMagic[[#This Row],[Active Alchemists Flame]],-1,0)&gt;0,TblConstr[[#This Row],[Tot Alc]]*alchemist_flame_invest,0)</f>
        <v>0</v>
      </c>
      <c r="BL127" s="142"/>
      <c r="BM1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7" s="142"/>
      <c r="BR1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7" s="142"/>
      <c r="BW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7" s="61">
        <f>TblImps[[#This Row],[Login]]</f>
        <v>0</v>
      </c>
      <c r="BY127" s="137"/>
      <c r="BZ127" s="293">
        <f ca="1">OFFSET(TblImps[[#This Row],[Real time]],-1,0)+1/24</f>
        <v>46106.874999999702</v>
      </c>
      <c r="CA127" s="294">
        <f ca="1">OFFSET(TblImps[[#This Row],[Servertime]],-1,0)+1/24</f>
        <v>46107.124999999702</v>
      </c>
      <c r="CB127" s="57"/>
      <c r="CC127" s="292"/>
      <c r="CD127" s="292"/>
    </row>
    <row r="128" spans="1:82" x14ac:dyDescent="0.2">
      <c r="A128" s="214">
        <f ca="1">TblConstr[[#This Row],[Land]]</f>
        <v>110</v>
      </c>
      <c r="B128" s="142"/>
      <c r="C128" s="94">
        <f ca="1">TblProd[[#This Row],[Platinum]]</f>
        <v>222078</v>
      </c>
      <c r="D128" s="94">
        <f ca="1">TblProd[[#This Row],[Lumber]]</f>
        <v>75553</v>
      </c>
      <c r="E128" s="94">
        <f ca="1">TblProd[[#This Row],[Ore]]</f>
        <v>0</v>
      </c>
      <c r="F128" s="94">
        <f ca="1">TblProd[[#This Row],[Gems]]</f>
        <v>0</v>
      </c>
      <c r="G128" s="154"/>
      <c r="H128" s="94">
        <f ca="1">TblMili[[#This Row],[Draftees]]</f>
        <v>786</v>
      </c>
      <c r="I128" s="180">
        <f ca="1">TblPop[[#This Row],[Employment]]</f>
        <v>1</v>
      </c>
      <c r="J128" s="180">
        <f ca="1">TblPop[[#This Row],[Total]]/TblPop[[#This Row],[Net max]]</f>
        <v>1</v>
      </c>
      <c r="K128" s="283">
        <f>TblRezone[[#This Row],[Hour]]</f>
        <v>125</v>
      </c>
      <c r="L128" s="284">
        <f ca="1">TblImps[[#This Row],[Real time]]</f>
        <v>46106.916666666366</v>
      </c>
      <c r="M128" s="61">
        <f>IF(ISERROR(TblImps[[#This Row],[algorithm]]),0,TblImps[[#This Row],[algorithm]]*1)</f>
        <v>0</v>
      </c>
      <c r="N128" s="94">
        <f ca="1">TblImps[[#This Row],[Land]]</f>
        <v>110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57">
        <f ca="1">IF(OFFSET(TblMagic[[#This Row],[Active Alchemists Flame]],-1,0)&gt;0,TblConstr[[#This Row],[Tot Alc]]*alchemist_flame_invest,0)</f>
        <v>0</v>
      </c>
      <c r="BL128" s="142"/>
      <c r="BM1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8" s="142"/>
      <c r="BR1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8" s="142"/>
      <c r="BW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8" s="61">
        <f>TblImps[[#This Row],[Login]]</f>
        <v>0</v>
      </c>
      <c r="BY128" s="137"/>
      <c r="BZ128" s="293">
        <f ca="1">OFFSET(TblImps[[#This Row],[Real time]],-1,0)+1/24</f>
        <v>46106.916666666366</v>
      </c>
      <c r="CA128" s="294">
        <f ca="1">OFFSET(TblImps[[#This Row],[Servertime]],-1,0)+1/24</f>
        <v>46107.166666666366</v>
      </c>
      <c r="CB128" s="57"/>
      <c r="CC128" s="292"/>
      <c r="CD128" s="292"/>
    </row>
    <row r="129" spans="1:82" x14ac:dyDescent="0.2">
      <c r="A129" s="214">
        <f ca="1">TblConstr[[#This Row],[Land]]</f>
        <v>110</v>
      </c>
      <c r="B129" s="142"/>
      <c r="C129" s="94">
        <f ca="1">TblProd[[#This Row],[Platinum]]</f>
        <v>222861</v>
      </c>
      <c r="D129" s="94">
        <f ca="1">TblProd[[#This Row],[Lumber]]</f>
        <v>75797</v>
      </c>
      <c r="E129" s="94">
        <f ca="1">TblProd[[#This Row],[Ore]]</f>
        <v>0</v>
      </c>
      <c r="F129" s="94">
        <f ca="1">TblProd[[#This Row],[Gems]]</f>
        <v>0</v>
      </c>
      <c r="G129" s="154"/>
      <c r="H129" s="94">
        <f ca="1">TblMili[[#This Row],[Draftees]]</f>
        <v>789</v>
      </c>
      <c r="I129" s="180">
        <f ca="1">TblPop[[#This Row],[Employment]]</f>
        <v>1</v>
      </c>
      <c r="J129" s="180">
        <f ca="1">TblPop[[#This Row],[Total]]/TblPop[[#This Row],[Net max]]</f>
        <v>1</v>
      </c>
      <c r="K129" s="283">
        <f>TblRezone[[#This Row],[Hour]]</f>
        <v>126</v>
      </c>
      <c r="L129" s="284">
        <f ca="1">TblImps[[#This Row],[Real time]]</f>
        <v>46106.95833333303</v>
      </c>
      <c r="M129" s="61">
        <f>IF(ISERROR(TblImps[[#This Row],[algorithm]]),0,TblImps[[#This Row],[algorithm]]*1)</f>
        <v>0</v>
      </c>
      <c r="N129" s="94">
        <f ca="1">TblImps[[#This Row],[Land]]</f>
        <v>110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57">
        <f ca="1">IF(OFFSET(TblMagic[[#This Row],[Active Alchemists Flame]],-1,0)&gt;0,TblConstr[[#This Row],[Tot Alc]]*alchemist_flame_invest,0)</f>
        <v>0</v>
      </c>
      <c r="BL129" s="142"/>
      <c r="BM1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9" s="142"/>
      <c r="BR1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9" s="142"/>
      <c r="BW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9" s="61">
        <f>TblImps[[#This Row],[Login]]</f>
        <v>0</v>
      </c>
      <c r="BY129" s="137"/>
      <c r="BZ129" s="293">
        <f ca="1">OFFSET(TblImps[[#This Row],[Real time]],-1,0)+1/24</f>
        <v>46106.95833333303</v>
      </c>
      <c r="CA129" s="294">
        <f ca="1">OFFSET(TblImps[[#This Row],[Servertime]],-1,0)+1/24</f>
        <v>46107.20833333303</v>
      </c>
      <c r="CB129" s="57"/>
      <c r="CC129" s="292"/>
      <c r="CD129" s="292"/>
    </row>
    <row r="130" spans="1:82" x14ac:dyDescent="0.2">
      <c r="A130" s="214">
        <f ca="1">TblConstr[[#This Row],[Land]]</f>
        <v>110</v>
      </c>
      <c r="B130" s="142"/>
      <c r="C130" s="94">
        <f ca="1">TblProd[[#This Row],[Platinum]]</f>
        <v>223635</v>
      </c>
      <c r="D130" s="94">
        <f ca="1">TblProd[[#This Row],[Lumber]]</f>
        <v>76039</v>
      </c>
      <c r="E130" s="94">
        <f ca="1">TblProd[[#This Row],[Ore]]</f>
        <v>0</v>
      </c>
      <c r="F130" s="94">
        <f ca="1">TblProd[[#This Row],[Gems]]</f>
        <v>0</v>
      </c>
      <c r="G130" s="154"/>
      <c r="H130" s="94">
        <f ca="1">TblMili[[#This Row],[Draftees]]</f>
        <v>792</v>
      </c>
      <c r="I130" s="180">
        <f ca="1">TblPop[[#This Row],[Employment]]</f>
        <v>1</v>
      </c>
      <c r="J130" s="180">
        <f ca="1">TblPop[[#This Row],[Total]]/TblPop[[#This Row],[Net max]]</f>
        <v>1</v>
      </c>
      <c r="K130" s="283">
        <f>TblRezone[[#This Row],[Hour]]</f>
        <v>127</v>
      </c>
      <c r="L130" s="284">
        <f ca="1">TblImps[[#This Row],[Real time]]</f>
        <v>46106.999999999694</v>
      </c>
      <c r="M130" s="61">
        <f>IF(ISERROR(TblImps[[#This Row],[algorithm]]),0,TblImps[[#This Row],[algorithm]]*1)</f>
        <v>0</v>
      </c>
      <c r="N130" s="94">
        <f ca="1">TblImps[[#This Row],[Land]]</f>
        <v>110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57">
        <f ca="1">IF(OFFSET(TblMagic[[#This Row],[Active Alchemists Flame]],-1,0)&gt;0,TblConstr[[#This Row],[Tot Alc]]*alchemist_flame_invest,0)</f>
        <v>0</v>
      </c>
      <c r="BL130" s="142"/>
      <c r="BM1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0" s="142"/>
      <c r="BR1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0" s="142"/>
      <c r="BW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0" s="61">
        <f>TblImps[[#This Row],[Login]]</f>
        <v>0</v>
      </c>
      <c r="BY130" s="137"/>
      <c r="BZ130" s="293">
        <f ca="1">OFFSET(TblImps[[#This Row],[Real time]],-1,0)+1/24</f>
        <v>46106.999999999694</v>
      </c>
      <c r="CA130" s="294">
        <f ca="1">OFFSET(TblImps[[#This Row],[Servertime]],-1,0)+1/24</f>
        <v>46107.249999999694</v>
      </c>
      <c r="CB130" s="57"/>
      <c r="CC130" s="292"/>
      <c r="CD130" s="292"/>
    </row>
    <row r="131" spans="1:82" x14ac:dyDescent="0.2">
      <c r="A131" s="214">
        <f ca="1">TblConstr[[#This Row],[Land]]</f>
        <v>110</v>
      </c>
      <c r="B131" s="142"/>
      <c r="C131" s="94">
        <f ca="1">TblProd[[#This Row],[Platinum]]</f>
        <v>224401</v>
      </c>
      <c r="D131" s="94">
        <f ca="1">TblProd[[#This Row],[Lumber]]</f>
        <v>76279</v>
      </c>
      <c r="E131" s="94">
        <f ca="1">TblProd[[#This Row],[Ore]]</f>
        <v>0</v>
      </c>
      <c r="F131" s="94">
        <f ca="1">TblProd[[#This Row],[Gems]]</f>
        <v>0</v>
      </c>
      <c r="G131" s="154"/>
      <c r="H131" s="94">
        <f ca="1">TblMili[[#This Row],[Draftees]]</f>
        <v>795</v>
      </c>
      <c r="I131" s="180">
        <f ca="1">TblPop[[#This Row],[Employment]]</f>
        <v>1</v>
      </c>
      <c r="J131" s="180">
        <f ca="1">TblPop[[#This Row],[Total]]/TblPop[[#This Row],[Net max]]</f>
        <v>1</v>
      </c>
      <c r="K131" s="283">
        <f>TblRezone[[#This Row],[Hour]]</f>
        <v>128</v>
      </c>
      <c r="L131" s="284">
        <f ca="1">TblImps[[#This Row],[Real time]]</f>
        <v>46107.041666666359</v>
      </c>
      <c r="M131" s="61">
        <f>IF(ISERROR(TblImps[[#This Row],[algorithm]]),0,TblImps[[#This Row],[algorithm]]*1)</f>
        <v>0</v>
      </c>
      <c r="N131" s="94">
        <f ca="1">TblImps[[#This Row],[Land]]</f>
        <v>110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57">
        <f ca="1">IF(OFFSET(TblMagic[[#This Row],[Active Alchemists Flame]],-1,0)&gt;0,TblConstr[[#This Row],[Tot Alc]]*alchemist_flame_invest,0)</f>
        <v>0</v>
      </c>
      <c r="BL131" s="142"/>
      <c r="BM1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1" s="142"/>
      <c r="BR1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1" s="142"/>
      <c r="BW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1" s="61">
        <f>TblImps[[#This Row],[Login]]</f>
        <v>0</v>
      </c>
      <c r="BY131" s="137"/>
      <c r="BZ131" s="293">
        <f ca="1">OFFSET(TblImps[[#This Row],[Real time]],-1,0)+1/24</f>
        <v>46107.041666666359</v>
      </c>
      <c r="CA131" s="294">
        <f ca="1">OFFSET(TblImps[[#This Row],[Servertime]],-1,0)+1/24</f>
        <v>46107.291666666359</v>
      </c>
      <c r="CB131" s="57"/>
      <c r="CC131" s="292"/>
      <c r="CD131" s="292"/>
    </row>
    <row r="132" spans="1:82" x14ac:dyDescent="0.2">
      <c r="A132" s="214">
        <f ca="1">TblConstr[[#This Row],[Land]]</f>
        <v>110</v>
      </c>
      <c r="B132" s="142"/>
      <c r="C132" s="94">
        <f ca="1">TblProd[[#This Row],[Platinum]]</f>
        <v>225159</v>
      </c>
      <c r="D132" s="94">
        <f ca="1">TblProd[[#This Row],[Lumber]]</f>
        <v>76516</v>
      </c>
      <c r="E132" s="94">
        <f ca="1">TblProd[[#This Row],[Ore]]</f>
        <v>0</v>
      </c>
      <c r="F132" s="94">
        <f ca="1">TblProd[[#This Row],[Gems]]</f>
        <v>0</v>
      </c>
      <c r="G132" s="154"/>
      <c r="H132" s="94">
        <f ca="1">TblMili[[#This Row],[Draftees]]</f>
        <v>798</v>
      </c>
      <c r="I132" s="180">
        <f ca="1">TblPop[[#This Row],[Employment]]</f>
        <v>1</v>
      </c>
      <c r="J132" s="180">
        <f ca="1">TblPop[[#This Row],[Total]]/TblPop[[#This Row],[Net max]]</f>
        <v>1</v>
      </c>
      <c r="K132" s="283">
        <f>TblRezone[[#This Row],[Hour]]</f>
        <v>129</v>
      </c>
      <c r="L132" s="284">
        <f ca="1">TblImps[[#This Row],[Real time]]</f>
        <v>46107.083333333023</v>
      </c>
      <c r="M132" s="61">
        <f>IF(ISERROR(TblImps[[#This Row],[algorithm]]),0,TblImps[[#This Row],[algorithm]]*1)</f>
        <v>0</v>
      </c>
      <c r="N132" s="94">
        <f ca="1">TblImps[[#This Row],[Land]]</f>
        <v>110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57">
        <f ca="1">IF(OFFSET(TblMagic[[#This Row],[Active Alchemists Flame]],-1,0)&gt;0,TblConstr[[#This Row],[Tot Alc]]*alchemist_flame_invest,0)</f>
        <v>0</v>
      </c>
      <c r="BL132" s="142"/>
      <c r="BM1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2" s="142"/>
      <c r="BR1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2" s="142"/>
      <c r="BW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2" s="61">
        <f>TblImps[[#This Row],[Login]]</f>
        <v>0</v>
      </c>
      <c r="BY132" s="137"/>
      <c r="BZ132" s="293">
        <f ca="1">OFFSET(TblImps[[#This Row],[Real time]],-1,0)+1/24</f>
        <v>46107.083333333023</v>
      </c>
      <c r="CA132" s="294">
        <f ca="1">OFFSET(TblImps[[#This Row],[Servertime]],-1,0)+1/24</f>
        <v>46107.333333333023</v>
      </c>
      <c r="CB132" s="57"/>
      <c r="CC132" s="292"/>
      <c r="CD132" s="292"/>
    </row>
    <row r="133" spans="1:82" x14ac:dyDescent="0.2">
      <c r="A133" s="214">
        <f ca="1">TblConstr[[#This Row],[Land]]</f>
        <v>110</v>
      </c>
      <c r="B133" s="142"/>
      <c r="C133" s="94">
        <f ca="1">TblProd[[#This Row],[Platinum]]</f>
        <v>225909</v>
      </c>
      <c r="D133" s="94">
        <f ca="1">TblProd[[#This Row],[Lumber]]</f>
        <v>76751</v>
      </c>
      <c r="E133" s="94">
        <f ca="1">TblProd[[#This Row],[Ore]]</f>
        <v>0</v>
      </c>
      <c r="F133" s="94">
        <f ca="1">TblProd[[#This Row],[Gems]]</f>
        <v>0</v>
      </c>
      <c r="G133" s="154"/>
      <c r="H133" s="94">
        <f ca="1">TblMili[[#This Row],[Draftees]]</f>
        <v>801</v>
      </c>
      <c r="I133" s="180">
        <f ca="1">TblPop[[#This Row],[Employment]]</f>
        <v>1</v>
      </c>
      <c r="J133" s="180">
        <f ca="1">TblPop[[#This Row],[Total]]/TblPop[[#This Row],[Net max]]</f>
        <v>1</v>
      </c>
      <c r="K133" s="283">
        <f>TblRezone[[#This Row],[Hour]]</f>
        <v>130</v>
      </c>
      <c r="L133" s="284">
        <f ca="1">TblImps[[#This Row],[Real time]]</f>
        <v>46107.124999999687</v>
      </c>
      <c r="M133" s="61">
        <f>IF(ISERROR(TblImps[[#This Row],[algorithm]]),0,TblImps[[#This Row],[algorithm]]*1)</f>
        <v>0</v>
      </c>
      <c r="N133" s="94">
        <f ca="1">TblImps[[#This Row],[Land]]</f>
        <v>110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57">
        <f ca="1">IF(OFFSET(TblMagic[[#This Row],[Active Alchemists Flame]],-1,0)&gt;0,TblConstr[[#This Row],[Tot Alc]]*alchemist_flame_invest,0)</f>
        <v>0</v>
      </c>
      <c r="BL133" s="142"/>
      <c r="BM1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3" s="142"/>
      <c r="BR1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3" s="142"/>
      <c r="BW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3" s="61">
        <f>TblImps[[#This Row],[Login]]</f>
        <v>0</v>
      </c>
      <c r="BY133" s="137"/>
      <c r="BZ133" s="293">
        <f ca="1">OFFSET(TblImps[[#This Row],[Real time]],-1,0)+1/24</f>
        <v>46107.124999999687</v>
      </c>
      <c r="CA133" s="294">
        <f ca="1">OFFSET(TblImps[[#This Row],[Servertime]],-1,0)+1/24</f>
        <v>46107.374999999687</v>
      </c>
      <c r="CB133" s="57"/>
      <c r="CC133" s="292"/>
      <c r="CD133" s="292"/>
    </row>
    <row r="134" spans="1:82" x14ac:dyDescent="0.2">
      <c r="A134" s="214">
        <f ca="1">TblConstr[[#This Row],[Land]]</f>
        <v>110</v>
      </c>
      <c r="B134" s="142"/>
      <c r="C134" s="94">
        <f ca="1">TblProd[[#This Row],[Platinum]]</f>
        <v>226651</v>
      </c>
      <c r="D134" s="94">
        <f ca="1">TblProd[[#This Row],[Lumber]]</f>
        <v>76983</v>
      </c>
      <c r="E134" s="94">
        <f ca="1">TblProd[[#This Row],[Ore]]</f>
        <v>0</v>
      </c>
      <c r="F134" s="94">
        <f ca="1">TblProd[[#This Row],[Gems]]</f>
        <v>0</v>
      </c>
      <c r="G134" s="154"/>
      <c r="H134" s="94">
        <f ca="1">TblMili[[#This Row],[Draftees]]</f>
        <v>804</v>
      </c>
      <c r="I134" s="180">
        <f ca="1">TblPop[[#This Row],[Employment]]</f>
        <v>1</v>
      </c>
      <c r="J134" s="180">
        <f ca="1">TblPop[[#This Row],[Total]]/TblPop[[#This Row],[Net max]]</f>
        <v>1</v>
      </c>
      <c r="K134" s="283">
        <f>TblRezone[[#This Row],[Hour]]</f>
        <v>131</v>
      </c>
      <c r="L134" s="284">
        <f ca="1">TblImps[[#This Row],[Real time]]</f>
        <v>46107.166666666351</v>
      </c>
      <c r="M134" s="61">
        <f>IF(ISERROR(TblImps[[#This Row],[algorithm]]),0,TblImps[[#This Row],[algorithm]]*1)</f>
        <v>0</v>
      </c>
      <c r="N134" s="94">
        <f ca="1">TblImps[[#This Row],[Land]]</f>
        <v>110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57">
        <f ca="1">IF(OFFSET(TblMagic[[#This Row],[Active Alchemists Flame]],-1,0)&gt;0,TblConstr[[#This Row],[Tot Alc]]*alchemist_flame_invest,0)</f>
        <v>0</v>
      </c>
      <c r="BL134" s="142"/>
      <c r="BM1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4" s="142"/>
      <c r="BR1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4" s="142"/>
      <c r="BW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4" s="61">
        <f>TblImps[[#This Row],[Login]]</f>
        <v>0</v>
      </c>
      <c r="BY134" s="137"/>
      <c r="BZ134" s="293">
        <f ca="1">OFFSET(TblImps[[#This Row],[Real time]],-1,0)+1/24</f>
        <v>46107.166666666351</v>
      </c>
      <c r="CA134" s="294">
        <f ca="1">OFFSET(TblImps[[#This Row],[Servertime]],-1,0)+1/24</f>
        <v>46107.416666666351</v>
      </c>
      <c r="CB134" s="57"/>
      <c r="CC134" s="292"/>
      <c r="CD134" s="292"/>
    </row>
    <row r="135" spans="1:82" x14ac:dyDescent="0.2">
      <c r="A135" s="214">
        <f ca="1">TblConstr[[#This Row],[Land]]</f>
        <v>110</v>
      </c>
      <c r="B135" s="142"/>
      <c r="C135" s="94">
        <f ca="1">TblProd[[#This Row],[Platinum]]</f>
        <v>227385</v>
      </c>
      <c r="D135" s="94">
        <f ca="1">TblProd[[#This Row],[Lumber]]</f>
        <v>77213</v>
      </c>
      <c r="E135" s="94">
        <f ca="1">TblProd[[#This Row],[Ore]]</f>
        <v>0</v>
      </c>
      <c r="F135" s="94">
        <f ca="1">TblProd[[#This Row],[Gems]]</f>
        <v>0</v>
      </c>
      <c r="G135" s="154"/>
      <c r="H135" s="94">
        <f ca="1">TblMili[[#This Row],[Draftees]]</f>
        <v>807</v>
      </c>
      <c r="I135" s="180">
        <f ca="1">TblPop[[#This Row],[Employment]]</f>
        <v>1</v>
      </c>
      <c r="J135" s="180">
        <f ca="1">TblPop[[#This Row],[Total]]/TblPop[[#This Row],[Net max]]</f>
        <v>1</v>
      </c>
      <c r="K135" s="283">
        <f>TblRezone[[#This Row],[Hour]]</f>
        <v>132</v>
      </c>
      <c r="L135" s="284">
        <f ca="1">TblImps[[#This Row],[Real time]]</f>
        <v>46107.208333333016</v>
      </c>
      <c r="M135" s="61">
        <f>IF(ISERROR(TblImps[[#This Row],[algorithm]]),0,TblImps[[#This Row],[algorithm]]*1)</f>
        <v>0</v>
      </c>
      <c r="N135" s="94">
        <f ca="1">TblImps[[#This Row],[Land]]</f>
        <v>110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57">
        <f ca="1">IF(OFFSET(TblMagic[[#This Row],[Active Alchemists Flame]],-1,0)&gt;0,TblConstr[[#This Row],[Tot Alc]]*alchemist_flame_invest,0)</f>
        <v>0</v>
      </c>
      <c r="BL135" s="142"/>
      <c r="BM1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5" s="142"/>
      <c r="BR1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5" s="142"/>
      <c r="BW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5" s="61">
        <f>TblImps[[#This Row],[Login]]</f>
        <v>0</v>
      </c>
      <c r="BY135" s="137"/>
      <c r="BZ135" s="293">
        <f ca="1">OFFSET(TblImps[[#This Row],[Real time]],-1,0)+1/24</f>
        <v>46107.208333333016</v>
      </c>
      <c r="CA135" s="294">
        <f ca="1">OFFSET(TblImps[[#This Row],[Servertime]],-1,0)+1/24</f>
        <v>46107.458333333016</v>
      </c>
      <c r="CB135" s="57"/>
      <c r="CC135" s="292"/>
      <c r="CD135" s="292"/>
    </row>
    <row r="136" spans="1:82" x14ac:dyDescent="0.2">
      <c r="A136" s="214">
        <f ca="1">TblConstr[[#This Row],[Land]]</f>
        <v>110</v>
      </c>
      <c r="B136" s="142"/>
      <c r="C136" s="94">
        <f ca="1">TblProd[[#This Row],[Platinum]]</f>
        <v>228111</v>
      </c>
      <c r="D136" s="94">
        <f ca="1">TblProd[[#This Row],[Lumber]]</f>
        <v>77441</v>
      </c>
      <c r="E136" s="94">
        <f ca="1">TblProd[[#This Row],[Ore]]</f>
        <v>0</v>
      </c>
      <c r="F136" s="94">
        <f ca="1">TblProd[[#This Row],[Gems]]</f>
        <v>0</v>
      </c>
      <c r="G136" s="154"/>
      <c r="H136" s="94">
        <f ca="1">TblMili[[#This Row],[Draftees]]</f>
        <v>810</v>
      </c>
      <c r="I136" s="180">
        <f ca="1">TblPop[[#This Row],[Employment]]</f>
        <v>0</v>
      </c>
      <c r="J136" s="180">
        <f ca="1">TblPop[[#This Row],[Total]]/TblPop[[#This Row],[Net max]]</f>
        <v>1</v>
      </c>
      <c r="K136" s="283">
        <f>TblRezone[[#This Row],[Hour]]</f>
        <v>133</v>
      </c>
      <c r="L136" s="284">
        <f ca="1">TblImps[[#This Row],[Real time]]</f>
        <v>46107.24999999968</v>
      </c>
      <c r="M136" s="61">
        <f>IF(ISERROR(TblImps[[#This Row],[algorithm]]),0,TblImps[[#This Row],[algorithm]]*1)</f>
        <v>0</v>
      </c>
      <c r="N136" s="94">
        <f ca="1">TblImps[[#This Row],[Land]]</f>
        <v>110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57">
        <f ca="1">IF(OFFSET(TblMagic[[#This Row],[Active Alchemists Flame]],-1,0)&gt;0,TblConstr[[#This Row],[Tot Alc]]*alchemist_flame_invest,0)</f>
        <v>0</v>
      </c>
      <c r="BL136" s="142"/>
      <c r="BM1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6" s="142"/>
      <c r="BR1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6" s="142"/>
      <c r="BW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6" s="61">
        <f>TblImps[[#This Row],[Login]]</f>
        <v>0</v>
      </c>
      <c r="BY136" s="137"/>
      <c r="BZ136" s="293">
        <f ca="1">OFFSET(TblImps[[#This Row],[Real time]],-1,0)+1/24</f>
        <v>46107.24999999968</v>
      </c>
      <c r="CA136" s="294">
        <f ca="1">OFFSET(TblImps[[#This Row],[Servertime]],-1,0)+1/24</f>
        <v>46107.49999999968</v>
      </c>
      <c r="CB136" s="57"/>
      <c r="CC136" s="292"/>
      <c r="CD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M1:BO1"/>
    <mergeCell ref="BR1:BT1"/>
    <mergeCell ref="B1269:C1269"/>
    <mergeCell ref="AR1:AT1"/>
    <mergeCell ref="AW1:AY1"/>
    <mergeCell ref="AM1:AN1"/>
    <mergeCell ref="AF1:AG1"/>
  </mergeCells>
  <phoneticPr fontId="0" type="noConversion"/>
  <conditionalFormatting sqref="IW29207:IW65010 CE1271:IW60115 A1271:CD60158 A137:XFD1268">
    <cfRule type="expression" dxfId="13" priority="8" stopIfTrue="1">
      <formula>ROW()-2=#REF!</formula>
    </cfRule>
  </conditionalFormatting>
  <conditionalFormatting sqref="A1269:CD1269">
    <cfRule type="expression" dxfId="12" priority="9" stopIfTrue="1">
      <formula>$B$1270&gt;84</formula>
    </cfRule>
  </conditionalFormatting>
  <conditionalFormatting sqref="A1269:XFD1270">
    <cfRule type="expression" dxfId="11" priority="10" stopIfTrue="1">
      <formula>$B$1270&gt;144</formula>
    </cfRule>
  </conditionalFormatting>
  <conditionalFormatting sqref="BW76">
    <cfRule type="expression" dxfId="10" priority="20" stopIfTrue="1">
      <formula>ISERROR(BW76)</formula>
    </cfRule>
  </conditionalFormatting>
  <conditionalFormatting sqref="A4:CA136">
    <cfRule type="expression" dxfId="9" priority="1" stopIfTrue="1">
      <formula>ROW()-3=$B$1270</formula>
    </cfRule>
    <cfRule type="expression" dxfId="8" priority="2" stopIfTrue="1">
      <formula>OR(ROW()-3=$B$1270,A4&lt;0)</formula>
    </cfRule>
    <cfRule type="expression" dxfId="7" priority="7">
      <formula>$K4=37</formula>
    </cfRule>
    <cfRule type="expression" dxfId="6" priority="12">
      <formula>ROUND(($K4-1)/12,0)=INT($K4-1)/12</formula>
    </cfRule>
  </conditionalFormatting>
  <conditionalFormatting sqref="BW4:BW136">
    <cfRule type="expression" dxfId="5" priority="15" stopIfTrue="1">
      <formula>AND(ROW()-3=$B$1270,ISERROR(BW4))</formula>
    </cfRule>
    <cfRule type="expression" dxfId="4" priority="17" stopIfTrue="1">
      <formula>ISERROR(BW4)</formula>
    </cfRule>
  </conditionalFormatting>
  <conditionalFormatting sqref="A1:XFD3">
    <cfRule type="expression" dxfId="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6"/>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2.75</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150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50000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F88" s="45">
        <v>15</v>
      </c>
      <c r="G88" s="45" t="s">
        <v>1165</v>
      </c>
      <c r="L88" s="45" t="s">
        <v>564</v>
      </c>
      <c r="M88" s="407">
        <v>-2.5000000000000001E-2</v>
      </c>
      <c r="N88" s="45" t="s">
        <v>641</v>
      </c>
      <c r="S88" s="108" t="s">
        <v>697</v>
      </c>
      <c r="T88" s="108"/>
      <c r="U88" s="157"/>
    </row>
    <row r="89" spans="1:23" x14ac:dyDescent="0.2">
      <c r="A89" s="303" t="s">
        <v>424</v>
      </c>
      <c r="B89" s="45">
        <v>5</v>
      </c>
      <c r="C89" s="45" t="str">
        <f>C87</f>
        <v>* Landsize</v>
      </c>
      <c r="D89" s="156"/>
      <c r="F89" s="118">
        <v>0.05</v>
      </c>
      <c r="G89" s="45" t="s">
        <v>31</v>
      </c>
      <c r="M89"/>
      <c r="S89" s="108"/>
      <c r="T89" s="108"/>
    </row>
    <row r="90" spans="1:23" x14ac:dyDescent="0.2">
      <c r="A90" s="303" t="s">
        <v>1069</v>
      </c>
      <c r="B90" s="45">
        <v>5</v>
      </c>
      <c r="C90" s="45" t="str">
        <f>C89</f>
        <v>* Landsize</v>
      </c>
      <c r="D90" s="118">
        <v>0.01</v>
      </c>
      <c r="E90" s="45" t="s">
        <v>357</v>
      </c>
      <c r="F90" s="156">
        <v>0.1</v>
      </c>
      <c r="G90" s="45" t="s">
        <v>1071</v>
      </c>
      <c r="L90" s="45" t="s">
        <v>566</v>
      </c>
      <c r="M90" s="2">
        <v>0.05</v>
      </c>
      <c r="N90" s="45" t="s">
        <v>644</v>
      </c>
      <c r="S90" s="108" t="s">
        <v>698</v>
      </c>
      <c r="T90" s="108"/>
    </row>
    <row r="91" spans="1:23" x14ac:dyDescent="0.2">
      <c r="A91" s="303" t="s">
        <v>1076</v>
      </c>
      <c r="B91" s="45">
        <v>5</v>
      </c>
      <c r="C91" s="45" t="str">
        <f>C90</f>
        <v>* Landsize</v>
      </c>
      <c r="F91" s="156">
        <v>0.15</v>
      </c>
      <c r="G91" s="45" t="s">
        <v>106</v>
      </c>
      <c r="L91" s="45" t="s">
        <v>568</v>
      </c>
      <c r="M91" s="407">
        <v>2.5000000000000001E-2</v>
      </c>
      <c r="N91" s="45" t="s">
        <v>646</v>
      </c>
      <c r="S91" s="108" t="s">
        <v>699</v>
      </c>
      <c r="T91" s="108"/>
      <c r="U91" s="157"/>
    </row>
    <row r="92" spans="1:23" x14ac:dyDescent="0.2">
      <c r="A92" s="303" t="s">
        <v>1136</v>
      </c>
      <c r="B92" s="45">
        <v>5</v>
      </c>
      <c r="C92" s="45" t="str">
        <f>C91</f>
        <v>* Landsize</v>
      </c>
      <c r="F92" s="156">
        <v>-0.05</v>
      </c>
      <c r="G92" s="45" t="s">
        <v>106</v>
      </c>
      <c r="L92" s="45" t="s">
        <v>570</v>
      </c>
      <c r="M92" s="407">
        <v>7.4999999999999997E-2</v>
      </c>
      <c r="N92" s="45" t="s">
        <v>647</v>
      </c>
      <c r="O92" s="118">
        <v>0.25</v>
      </c>
      <c r="P92" s="45" t="s">
        <v>648</v>
      </c>
      <c r="S92" s="108" t="s">
        <v>700</v>
      </c>
      <c r="T92" s="108"/>
      <c r="U92" s="157"/>
      <c r="W92" s="156"/>
    </row>
    <row r="93" spans="1:23" x14ac:dyDescent="0.2">
      <c r="F93" s="156">
        <v>0</v>
      </c>
      <c r="G93" s="45" t="s">
        <v>1137</v>
      </c>
      <c r="L93" s="45" t="s">
        <v>571</v>
      </c>
      <c r="M93" s="407">
        <v>0.1</v>
      </c>
      <c r="N93" s="45" t="s">
        <v>631</v>
      </c>
      <c r="O93" s="156">
        <v>0.05</v>
      </c>
      <c r="P93" s="45" t="s">
        <v>649</v>
      </c>
      <c r="S93" s="108" t="s">
        <v>701</v>
      </c>
      <c r="T93" s="108"/>
      <c r="U93" s="157"/>
      <c r="W93" s="156"/>
    </row>
    <row r="94" spans="1:23" x14ac:dyDescent="0.2">
      <c r="F94" s="45">
        <v>0.75</v>
      </c>
      <c r="G94" s="45" t="s">
        <v>1138</v>
      </c>
      <c r="L94" s="45" t="s">
        <v>572</v>
      </c>
      <c r="M94" s="407">
        <v>-1.7500000000000002E-2</v>
      </c>
      <c r="N94" s="45" t="s">
        <v>634</v>
      </c>
      <c r="S94" s="108" t="s">
        <v>683</v>
      </c>
      <c r="T94" s="108"/>
    </row>
    <row r="95" spans="1:23" x14ac:dyDescent="0.2">
      <c r="L95" s="45" t="s">
        <v>573</v>
      </c>
      <c r="M95" s="407">
        <v>1.4999999999999999E-2</v>
      </c>
      <c r="N95" s="45" t="s">
        <v>645</v>
      </c>
      <c r="S95" s="108" t="s">
        <v>694</v>
      </c>
      <c r="T95" s="108"/>
      <c r="U95" s="156"/>
    </row>
    <row r="96" spans="1:23" x14ac:dyDescent="0.2">
      <c r="A96" s="302" t="s">
        <v>82</v>
      </c>
      <c r="L96" s="45" t="s">
        <v>574</v>
      </c>
      <c r="M96" s="165">
        <f>-7.5%/explore_tech_divisor</f>
        <v>-7.4999999999999997E-2</v>
      </c>
      <c r="N96" s="45" t="s">
        <v>635</v>
      </c>
      <c r="O96" s="45">
        <v>-2</v>
      </c>
      <c r="P96" s="45" t="s">
        <v>666</v>
      </c>
      <c r="S96" s="108" t="s">
        <v>702</v>
      </c>
      <c r="T96" s="108"/>
      <c r="U96" s="157"/>
    </row>
    <row r="97" spans="1:23" x14ac:dyDescent="0.2">
      <c r="A97" s="303" t="s">
        <v>267</v>
      </c>
      <c r="B97" s="45">
        <f>30 + IF(race="Kobold",10,0) + IF(race="Nox",5,0) + IF(race="Undead",20,0)</f>
        <v>30</v>
      </c>
      <c r="C97" s="45" t="s">
        <v>239</v>
      </c>
      <c r="L97" s="45" t="s">
        <v>575</v>
      </c>
      <c r="M97" s="2">
        <v>0.15</v>
      </c>
      <c r="N97" s="45" t="s">
        <v>1123</v>
      </c>
      <c r="S97" s="108" t="s">
        <v>1121</v>
      </c>
      <c r="T97" s="108"/>
      <c r="U97" s="156"/>
    </row>
    <row r="98" spans="1:23" x14ac:dyDescent="0.2">
      <c r="L98" s="45" t="s">
        <v>576</v>
      </c>
      <c r="M98" s="2">
        <v>-0.1</v>
      </c>
      <c r="N98" s="45" t="s">
        <v>638</v>
      </c>
      <c r="S98" s="108" t="s">
        <v>687</v>
      </c>
      <c r="T98" s="108"/>
      <c r="U98" s="156"/>
      <c r="W98" s="156"/>
    </row>
    <row r="99" spans="1:23" x14ac:dyDescent="0.2">
      <c r="A99" s="302" t="s">
        <v>350</v>
      </c>
      <c r="M99"/>
      <c r="S99" s="108"/>
      <c r="T99" s="108"/>
    </row>
    <row r="100" spans="1:23" x14ac:dyDescent="0.2">
      <c r="A100" s="303" t="s">
        <v>502</v>
      </c>
      <c r="B100" s="45">
        <v>250</v>
      </c>
      <c r="L100" s="45" t="s">
        <v>578</v>
      </c>
      <c r="M100" s="407">
        <v>0.125</v>
      </c>
      <c r="N100" s="45" t="s">
        <v>651</v>
      </c>
      <c r="S100" s="108" t="s">
        <v>704</v>
      </c>
      <c r="T100" s="108"/>
      <c r="U100" s="157"/>
    </row>
    <row r="101" spans="1:23" x14ac:dyDescent="0.2">
      <c r="A101" s="303" t="s">
        <v>503</v>
      </c>
      <c r="B101" s="156">
        <v>0.01</v>
      </c>
      <c r="L101" s="45" t="s">
        <v>579</v>
      </c>
      <c r="M101"/>
      <c r="N101" s="45" t="s">
        <v>626</v>
      </c>
      <c r="S101" s="108" t="s">
        <v>705</v>
      </c>
      <c r="T101" s="108"/>
    </row>
    <row r="102" spans="1:23" x14ac:dyDescent="0.2">
      <c r="A102" s="303" t="s">
        <v>504</v>
      </c>
      <c r="B102" s="156">
        <v>0.01</v>
      </c>
      <c r="L102" s="45" t="s">
        <v>580</v>
      </c>
      <c r="M102" s="407">
        <v>2.5000000000000001E-2</v>
      </c>
      <c r="N102" s="45" t="s">
        <v>646</v>
      </c>
      <c r="O102" s="157">
        <v>7.4999999999999997E-2</v>
      </c>
      <c r="P102" s="45" t="s">
        <v>644</v>
      </c>
      <c r="S102" s="108" t="s">
        <v>706</v>
      </c>
      <c r="T102" s="108"/>
      <c r="U102" s="157"/>
      <c r="W102" s="157"/>
    </row>
    <row r="103" spans="1:23" x14ac:dyDescent="0.2">
      <c r="A103" s="303" t="s">
        <v>505</v>
      </c>
      <c r="B103" s="156">
        <v>0.01</v>
      </c>
      <c r="L103" s="45" t="s">
        <v>581</v>
      </c>
      <c r="M103" s="2">
        <v>0.04</v>
      </c>
      <c r="N103" s="45" t="s">
        <v>633</v>
      </c>
      <c r="S103" s="108" t="s">
        <v>707</v>
      </c>
      <c r="T103" s="108"/>
      <c r="U103" s="156"/>
    </row>
    <row r="104" spans="1:23" x14ac:dyDescent="0.2">
      <c r="L104" s="45" t="s">
        <v>582</v>
      </c>
      <c r="M104">
        <v>2</v>
      </c>
      <c r="N104" s="45" t="s">
        <v>1086</v>
      </c>
      <c r="S104" s="108" t="s">
        <v>1053</v>
      </c>
      <c r="T104" s="108"/>
      <c r="U104" s="156"/>
    </row>
    <row r="105" spans="1:23" x14ac:dyDescent="0.2">
      <c r="A105" s="302" t="s">
        <v>455</v>
      </c>
      <c r="L105" s="45" t="s">
        <v>583</v>
      </c>
      <c r="M105" s="407">
        <v>-0.1</v>
      </c>
      <c r="N105" s="45" t="s">
        <v>641</v>
      </c>
      <c r="S105" s="108" t="s">
        <v>709</v>
      </c>
      <c r="T105" s="108"/>
      <c r="U105" s="156"/>
    </row>
    <row r="106" spans="1:23" x14ac:dyDescent="0.2">
      <c r="L106" s="45" t="s">
        <v>585</v>
      </c>
      <c r="M106">
        <v>-1</v>
      </c>
      <c r="N106" s="45" t="s">
        <v>750</v>
      </c>
      <c r="S106" s="108" t="s">
        <v>1055</v>
      </c>
      <c r="T106" s="108"/>
      <c r="U106" s="157"/>
    </row>
    <row r="107" spans="1:23" x14ac:dyDescent="0.2">
      <c r="A107" s="303" t="s">
        <v>456</v>
      </c>
      <c r="B107" s="45" t="s">
        <v>210</v>
      </c>
      <c r="D107" s="316">
        <v>0.25</v>
      </c>
      <c r="E107" s="45" t="s">
        <v>435</v>
      </c>
      <c r="L107" s="45" t="s">
        <v>586</v>
      </c>
      <c r="M107" s="2">
        <v>-0.2</v>
      </c>
      <c r="N107" s="45" t="s">
        <v>652</v>
      </c>
      <c r="S107" s="108" t="s">
        <v>708</v>
      </c>
      <c r="T107" s="108"/>
    </row>
    <row r="108" spans="1:23" x14ac:dyDescent="0.2">
      <c r="B108" s="45" t="s">
        <v>208</v>
      </c>
      <c r="D108" s="316">
        <v>0.2</v>
      </c>
      <c r="E108" s="45" t="s">
        <v>435</v>
      </c>
      <c r="M108"/>
    </row>
    <row r="109" spans="1:23" x14ac:dyDescent="0.2">
      <c r="B109" s="45" t="s">
        <v>457</v>
      </c>
      <c r="D109" s="316">
        <v>0.3</v>
      </c>
      <c r="E109" s="45" t="s">
        <v>435</v>
      </c>
      <c r="L109" s="45" t="s">
        <v>587</v>
      </c>
      <c r="M109" s="407">
        <v>2.5000000000000001E-2</v>
      </c>
      <c r="N109" s="45" t="s">
        <v>1059</v>
      </c>
      <c r="O109" s="45" t="s">
        <v>654</v>
      </c>
      <c r="S109" s="108" t="s">
        <v>712</v>
      </c>
      <c r="T109" s="108"/>
      <c r="U109" s="156"/>
      <c r="W109" s="156"/>
    </row>
    <row r="110" spans="1:23" x14ac:dyDescent="0.2">
      <c r="B110" s="45" t="s">
        <v>458</v>
      </c>
      <c r="D110" s="316">
        <v>0.6</v>
      </c>
      <c r="E110" s="45" t="s">
        <v>435</v>
      </c>
      <c r="L110" s="45" t="s">
        <v>588</v>
      </c>
      <c r="M110" s="2">
        <v>-0.2</v>
      </c>
      <c r="N110" s="45" t="s">
        <v>670</v>
      </c>
      <c r="O110" s="156">
        <v>-0.2</v>
      </c>
      <c r="P110" s="45" t="s">
        <v>653</v>
      </c>
      <c r="Q110" s="5"/>
      <c r="R110" s="5"/>
      <c r="S110" s="108" t="s">
        <v>711</v>
      </c>
      <c r="T110" s="108"/>
    </row>
    <row r="111" spans="1:23" x14ac:dyDescent="0.2">
      <c r="L111" s="45" t="s">
        <v>589</v>
      </c>
      <c r="M111" s="407">
        <v>-1.7500000000000002E-2</v>
      </c>
      <c r="N111" s="45" t="s">
        <v>634</v>
      </c>
      <c r="S111" s="108" t="s">
        <v>713</v>
      </c>
      <c r="T111" s="108"/>
      <c r="U111" s="156"/>
    </row>
    <row r="112" spans="1:23" x14ac:dyDescent="0.2">
      <c r="A112" s="303" t="s">
        <v>459</v>
      </c>
      <c r="B112" s="45" t="s">
        <v>210</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208</v>
      </c>
      <c r="D113" s="45">
        <v>4000</v>
      </c>
      <c r="E113" s="45" t="s">
        <v>506</v>
      </c>
      <c r="L113" s="45" t="s">
        <v>591</v>
      </c>
      <c r="M113" s="407">
        <v>-1.7500000000000002E-2</v>
      </c>
      <c r="N113" s="45" t="s">
        <v>634</v>
      </c>
      <c r="S113" s="108" t="s">
        <v>715</v>
      </c>
      <c r="T113" s="108"/>
      <c r="U113" s="156"/>
    </row>
    <row r="114" spans="1:23" x14ac:dyDescent="0.2">
      <c r="B114" s="45" t="s">
        <v>457</v>
      </c>
      <c r="D114" s="45">
        <v>7500</v>
      </c>
      <c r="E114" s="45" t="s">
        <v>506</v>
      </c>
      <c r="L114" s="45" t="s">
        <v>592</v>
      </c>
      <c r="M114">
        <v>1</v>
      </c>
      <c r="N114" s="45" t="s">
        <v>668</v>
      </c>
      <c r="S114" s="108" t="s">
        <v>392</v>
      </c>
      <c r="T114" s="108"/>
      <c r="U114" s="156"/>
      <c r="W114" s="156"/>
    </row>
    <row r="115" spans="1:23" x14ac:dyDescent="0.2">
      <c r="B115" s="45" t="s">
        <v>526</v>
      </c>
      <c r="D115" s="45">
        <v>5000</v>
      </c>
      <c r="E115" s="45" t="s">
        <v>506</v>
      </c>
      <c r="L115" s="45" t="s">
        <v>593</v>
      </c>
      <c r="M115" s="2">
        <v>-0.01</v>
      </c>
      <c r="N115" s="45" t="s">
        <v>656</v>
      </c>
      <c r="S115" s="108" t="s">
        <v>717</v>
      </c>
      <c r="T115" s="108"/>
      <c r="U115" s="156"/>
    </row>
    <row r="116" spans="1:23" x14ac:dyDescent="0.2">
      <c r="B116" s="45" t="s">
        <v>211</v>
      </c>
      <c r="D116" s="45">
        <v>5000</v>
      </c>
      <c r="E116" s="45" t="s">
        <v>506</v>
      </c>
      <c r="T116" s="108"/>
    </row>
    <row r="117" spans="1:23" x14ac:dyDescent="0.2">
      <c r="L117" s="45" t="s">
        <v>594</v>
      </c>
      <c r="M117" s="29">
        <v>1.4999999999999999E-2</v>
      </c>
      <c r="N117" s="45" t="s">
        <v>645</v>
      </c>
      <c r="S117" s="108" t="s">
        <v>718</v>
      </c>
      <c r="T117" s="108"/>
      <c r="U117" s="157"/>
    </row>
    <row r="118" spans="1:23" x14ac:dyDescent="0.2">
      <c r="A118" s="302" t="s">
        <v>460</v>
      </c>
      <c r="F118" s="45" t="s">
        <v>462</v>
      </c>
      <c r="L118" s="45" t="s">
        <v>595</v>
      </c>
      <c r="M118" s="407">
        <v>2.5000000000000001E-2</v>
      </c>
      <c r="N118" s="45" t="s">
        <v>646</v>
      </c>
      <c r="O118" s="156">
        <v>-0.05</v>
      </c>
      <c r="P118" s="45" t="s">
        <v>657</v>
      </c>
      <c r="S118" s="108" t="s">
        <v>719</v>
      </c>
      <c r="T118" s="108"/>
      <c r="U118" s="157"/>
      <c r="W118" s="156"/>
    </row>
    <row r="119" spans="1:23" x14ac:dyDescent="0.2">
      <c r="A119" s="303" t="s">
        <v>1129</v>
      </c>
      <c r="B119" s="238"/>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A120" s="303" t="s">
        <v>125</v>
      </c>
      <c r="B120" s="116" t="s">
        <v>292</v>
      </c>
      <c r="C120" s="319">
        <v>0.2</v>
      </c>
      <c r="D120" s="45" t="s">
        <v>466</v>
      </c>
      <c r="F120" s="177">
        <v>2</v>
      </c>
      <c r="L120" s="45" t="s">
        <v>598</v>
      </c>
      <c r="M120" s="407">
        <v>-0.125</v>
      </c>
      <c r="N120" s="45" t="s">
        <v>658</v>
      </c>
      <c r="S120" s="108" t="s">
        <v>720</v>
      </c>
      <c r="T120" s="108"/>
      <c r="U120" s="157"/>
    </row>
    <row r="121" spans="1:23" x14ac:dyDescent="0.2">
      <c r="B121" s="45" t="s">
        <v>291</v>
      </c>
      <c r="C121" s="118">
        <v>0.2</v>
      </c>
      <c r="D121" s="45" t="s">
        <v>466</v>
      </c>
      <c r="F121" s="177">
        <v>2</v>
      </c>
      <c r="L121" s="45" t="s">
        <v>600</v>
      </c>
      <c r="M121" s="407">
        <v>0.01</v>
      </c>
      <c r="N121" s="45" t="s">
        <v>645</v>
      </c>
      <c r="O121" s="5"/>
      <c r="P121" s="5"/>
      <c r="S121" s="108" t="s">
        <v>716</v>
      </c>
      <c r="T121" s="108"/>
      <c r="U121" s="156"/>
    </row>
    <row r="122" spans="1:23" x14ac:dyDescent="0.2">
      <c r="A122" s="303" t="s">
        <v>139</v>
      </c>
      <c r="B122" s="238"/>
      <c r="C122" s="319">
        <v>0.2</v>
      </c>
      <c r="D122" s="45" t="s">
        <v>466</v>
      </c>
      <c r="F122" s="177">
        <v>4</v>
      </c>
      <c r="L122" s="45" t="s">
        <v>601</v>
      </c>
      <c r="M122" s="29">
        <v>7.4999999999999997E-2</v>
      </c>
      <c r="N122" s="45" t="s">
        <v>671</v>
      </c>
      <c r="O122" s="156">
        <v>-0.05</v>
      </c>
      <c r="P122" s="45" t="s">
        <v>659</v>
      </c>
      <c r="S122" s="108" t="s">
        <v>722</v>
      </c>
      <c r="T122" s="108"/>
      <c r="U122" s="156"/>
      <c r="W122" s="156"/>
    </row>
    <row r="123" spans="1:23" x14ac:dyDescent="0.2">
      <c r="A123" s="303" t="s">
        <v>132</v>
      </c>
      <c r="B123" s="238"/>
      <c r="C123" s="319">
        <v>0.2</v>
      </c>
      <c r="D123" s="45" t="s">
        <v>467</v>
      </c>
      <c r="F123" s="177">
        <v>2</v>
      </c>
      <c r="M123"/>
      <c r="S123" s="108"/>
      <c r="T123" s="108"/>
    </row>
    <row r="124" spans="1:23" x14ac:dyDescent="0.2">
      <c r="A124" s="303" t="s">
        <v>1064</v>
      </c>
      <c r="B124" s="116" t="s">
        <v>292</v>
      </c>
      <c r="C124" s="319">
        <v>0.1</v>
      </c>
      <c r="D124" s="45" t="s">
        <v>295</v>
      </c>
      <c r="F124" s="177">
        <v>0</v>
      </c>
      <c r="L124" s="45" t="s">
        <v>602</v>
      </c>
      <c r="M124" s="2">
        <v>0.3</v>
      </c>
      <c r="N124" s="45" t="s">
        <v>660</v>
      </c>
      <c r="S124" s="108" t="s">
        <v>723</v>
      </c>
      <c r="T124" s="108"/>
      <c r="U124" s="156"/>
    </row>
    <row r="125" spans="1:23" x14ac:dyDescent="0.2">
      <c r="B125" s="45" t="s">
        <v>291</v>
      </c>
      <c r="C125" s="320">
        <v>0.1</v>
      </c>
      <c r="D125" s="45" t="s">
        <v>295</v>
      </c>
      <c r="F125" s="177">
        <v>0</v>
      </c>
      <c r="L125" s="45" t="s">
        <v>604</v>
      </c>
      <c r="M125">
        <v>1.25</v>
      </c>
      <c r="N125" s="45" t="s">
        <v>675</v>
      </c>
      <c r="S125" s="108" t="s">
        <v>727</v>
      </c>
      <c r="T125" s="108"/>
      <c r="U125" s="156"/>
    </row>
    <row r="126" spans="1:23" x14ac:dyDescent="0.2">
      <c r="A126" s="303" t="s">
        <v>461</v>
      </c>
      <c r="B126" s="238"/>
      <c r="C126" s="319">
        <v>0.2</v>
      </c>
      <c r="D126" s="45" t="s">
        <v>467</v>
      </c>
      <c r="F126" s="177">
        <v>3</v>
      </c>
      <c r="L126" s="45" t="s">
        <v>606</v>
      </c>
      <c r="M126" s="407">
        <v>-7.4999999999999997E-2</v>
      </c>
      <c r="N126" s="45" t="s">
        <v>659</v>
      </c>
      <c r="O126" s="157">
        <v>7.4999999999999997E-3</v>
      </c>
      <c r="P126" s="45" t="s">
        <v>751</v>
      </c>
      <c r="S126" s="108" t="s">
        <v>1057</v>
      </c>
      <c r="T126" s="108"/>
      <c r="U126" s="156"/>
    </row>
    <row r="127" spans="1:23" x14ac:dyDescent="0.2">
      <c r="A127" s="303" t="s">
        <v>332</v>
      </c>
      <c r="C127" s="177">
        <v>1</v>
      </c>
      <c r="D127" s="45" t="s">
        <v>463</v>
      </c>
      <c r="F127" s="177">
        <v>3</v>
      </c>
      <c r="L127" s="45" t="s">
        <v>607</v>
      </c>
      <c r="M127" s="407">
        <v>2.5000000000000001E-2</v>
      </c>
      <c r="N127" s="45" t="s">
        <v>662</v>
      </c>
      <c r="S127" s="108" t="s">
        <v>725</v>
      </c>
      <c r="T127" s="108"/>
      <c r="U127" s="157"/>
    </row>
    <row r="128" spans="1:23" x14ac:dyDescent="0.2">
      <c r="A128" s="303" t="s">
        <v>373</v>
      </c>
      <c r="B128" s="177" t="s">
        <v>465</v>
      </c>
      <c r="C128" s="116">
        <v>500</v>
      </c>
      <c r="D128" s="45" t="s">
        <v>464</v>
      </c>
      <c r="F128" s="177">
        <v>0</v>
      </c>
      <c r="L128" s="45" t="s">
        <v>608</v>
      </c>
      <c r="M128" s="407">
        <v>-2.5000000000000001E-2</v>
      </c>
      <c r="N128" s="45" t="s">
        <v>637</v>
      </c>
      <c r="O128" s="5">
        <v>2</v>
      </c>
      <c r="P128" s="5" t="s">
        <v>674</v>
      </c>
      <c r="S128" s="108" t="s">
        <v>726</v>
      </c>
      <c r="T128" s="108"/>
      <c r="U128" s="157"/>
    </row>
    <row r="129" spans="1:23" x14ac:dyDescent="0.2">
      <c r="A129" s="303" t="s">
        <v>356</v>
      </c>
      <c r="B129" s="177" t="s">
        <v>465</v>
      </c>
      <c r="C129" s="116">
        <v>300</v>
      </c>
      <c r="D129" s="45" t="s">
        <v>464</v>
      </c>
      <c r="F129" s="177">
        <v>3</v>
      </c>
      <c r="M129"/>
      <c r="S129" s="108"/>
      <c r="T129" s="108"/>
    </row>
    <row r="130" spans="1:23" x14ac:dyDescent="0.2">
      <c r="A130" s="303" t="s">
        <v>422</v>
      </c>
      <c r="B130" s="238"/>
      <c r="C130" s="118">
        <v>0.1</v>
      </c>
      <c r="D130" s="45" t="s">
        <v>497</v>
      </c>
      <c r="F130" s="177">
        <v>4</v>
      </c>
      <c r="L130" s="45" t="s">
        <v>610</v>
      </c>
      <c r="M130" s="2">
        <v>0.6</v>
      </c>
      <c r="N130" s="45" t="s">
        <v>752</v>
      </c>
      <c r="S130" s="108" t="s">
        <v>1058</v>
      </c>
      <c r="T130" s="108"/>
    </row>
    <row r="131" spans="1:23" x14ac:dyDescent="0.2">
      <c r="A131" s="303" t="s">
        <v>1133</v>
      </c>
      <c r="B131" s="45" t="s">
        <v>291</v>
      </c>
      <c r="C131" s="118">
        <v>0.1</v>
      </c>
      <c r="D131" s="45" t="s">
        <v>497</v>
      </c>
      <c r="F131" s="45">
        <v>1</v>
      </c>
      <c r="L131" s="45" t="s">
        <v>611</v>
      </c>
      <c r="M131" s="407">
        <v>-7.4999999999999997E-2</v>
      </c>
      <c r="N131" s="45" t="s">
        <v>659</v>
      </c>
      <c r="S131" s="108" t="s">
        <v>728</v>
      </c>
      <c r="T131" s="108"/>
      <c r="U131" s="157"/>
    </row>
    <row r="132" spans="1:23" x14ac:dyDescent="0.2">
      <c r="L132" s="45" t="s">
        <v>613</v>
      </c>
      <c r="M132">
        <v>2</v>
      </c>
      <c r="N132" s="45" t="s">
        <v>676</v>
      </c>
      <c r="S132" s="108" t="s">
        <v>729</v>
      </c>
      <c r="T132" s="108"/>
    </row>
    <row r="133" spans="1:23" x14ac:dyDescent="0.2">
      <c r="A133" s="302" t="s">
        <v>263</v>
      </c>
      <c r="L133" s="45" t="s">
        <v>615</v>
      </c>
      <c r="M133" s="2">
        <v>0.3</v>
      </c>
      <c r="N133" s="45" t="s">
        <v>663</v>
      </c>
      <c r="S133" s="108" t="s">
        <v>730</v>
      </c>
      <c r="T133" s="108"/>
      <c r="U133" s="156"/>
    </row>
    <row r="134" spans="1:23" x14ac:dyDescent="0.2">
      <c r="A134" s="303" t="s">
        <v>478</v>
      </c>
      <c r="B134" s="45">
        <v>20</v>
      </c>
      <c r="M134"/>
      <c r="S134" s="108"/>
      <c r="T134" s="108"/>
    </row>
    <row r="135" spans="1:23" x14ac:dyDescent="0.2">
      <c r="A135" s="303" t="s">
        <v>476</v>
      </c>
      <c r="B135" s="45">
        <v>0</v>
      </c>
      <c r="C135" s="45" t="s">
        <v>477</v>
      </c>
      <c r="L135" s="45" t="s">
        <v>616</v>
      </c>
      <c r="M135" s="2">
        <v>-0.15</v>
      </c>
      <c r="N135" s="45" t="s">
        <v>672</v>
      </c>
      <c r="O135" s="156">
        <v>-0.05</v>
      </c>
      <c r="P135" s="45" t="s">
        <v>650</v>
      </c>
      <c r="S135" s="108" t="s">
        <v>731</v>
      </c>
      <c r="T135" s="108"/>
      <c r="U135" s="156"/>
      <c r="W135" s="156"/>
    </row>
    <row r="136" spans="1:23" x14ac:dyDescent="0.2">
      <c r="L136" s="45" t="s">
        <v>618</v>
      </c>
      <c r="M136" s="407">
        <v>-0.05</v>
      </c>
      <c r="N136" s="45" t="s">
        <v>641</v>
      </c>
      <c r="S136" s="108" t="s">
        <v>732</v>
      </c>
      <c r="T136" s="108"/>
      <c r="U136" s="157"/>
    </row>
    <row r="137" spans="1:23" x14ac:dyDescent="0.2">
      <c r="A137" s="302" t="s">
        <v>753</v>
      </c>
      <c r="L137" s="45" t="s">
        <v>619</v>
      </c>
      <c r="M137" s="2">
        <v>-0.25</v>
      </c>
      <c r="N137" s="45" t="s">
        <v>664</v>
      </c>
      <c r="S137" s="108" t="s">
        <v>733</v>
      </c>
      <c r="T137" s="108"/>
      <c r="U137" s="156"/>
    </row>
    <row r="138" spans="1:23" x14ac:dyDescent="0.2">
      <c r="A138" s="303" t="s">
        <v>89</v>
      </c>
      <c r="B138" s="45" t="s">
        <v>3</v>
      </c>
      <c r="M138"/>
      <c r="S138" s="108"/>
      <c r="T138" s="108"/>
    </row>
    <row r="139" spans="1:23" x14ac:dyDescent="0.2">
      <c r="A139" s="303" t="s">
        <v>90</v>
      </c>
      <c r="B139" s="45" t="s">
        <v>3</v>
      </c>
      <c r="L139" s="45" t="s">
        <v>620</v>
      </c>
      <c r="M139" s="29">
        <v>7.4999999999999997E-2</v>
      </c>
      <c r="N139" s="45" t="s">
        <v>661</v>
      </c>
      <c r="S139" s="108" t="s">
        <v>724</v>
      </c>
      <c r="T139" s="108"/>
      <c r="U139" s="157"/>
    </row>
    <row r="140" spans="1:23" x14ac:dyDescent="0.2">
      <c r="A140" s="303" t="s">
        <v>91</v>
      </c>
      <c r="B140" s="45" t="s">
        <v>3</v>
      </c>
      <c r="L140" s="45" t="s">
        <v>622</v>
      </c>
      <c r="M140" s="407">
        <v>-7.4999999999999997E-2</v>
      </c>
      <c r="N140" s="45" t="s">
        <v>658</v>
      </c>
      <c r="S140" s="108" t="s">
        <v>734</v>
      </c>
      <c r="T140" s="108"/>
      <c r="U140" s="156"/>
    </row>
    <row r="141" spans="1:23" x14ac:dyDescent="0.2">
      <c r="A141" s="303" t="s">
        <v>92</v>
      </c>
      <c r="B141" s="45" t="s">
        <v>12</v>
      </c>
      <c r="M141"/>
    </row>
    <row r="142" spans="1:23" x14ac:dyDescent="0.2">
      <c r="A142" s="303" t="s">
        <v>93</v>
      </c>
      <c r="B142" s="45" t="s">
        <v>3</v>
      </c>
      <c r="L142" s="45" t="s">
        <v>623</v>
      </c>
      <c r="M142" s="2">
        <v>-0.05</v>
      </c>
      <c r="N142" s="45" t="s">
        <v>659</v>
      </c>
      <c r="S142" s="45" t="s">
        <v>735</v>
      </c>
      <c r="U142" s="156"/>
    </row>
    <row r="143" spans="1:23" x14ac:dyDescent="0.2">
      <c r="A143" s="303" t="s">
        <v>94</v>
      </c>
      <c r="B143" s="45" t="s">
        <v>3</v>
      </c>
    </row>
    <row r="144" spans="1:23" x14ac:dyDescent="0.2">
      <c r="A144" s="303" t="s">
        <v>95</v>
      </c>
      <c r="B144" s="45" t="s">
        <v>3</v>
      </c>
      <c r="L144" s="45" t="b">
        <f>OR(race=L145,race=L146,race=L147,race=L148)</f>
        <v>0</v>
      </c>
      <c r="M144" s="45">
        <f>IF(L144=FALSE,1,2)</f>
        <v>1</v>
      </c>
    </row>
    <row r="145" spans="1:13" x14ac:dyDescent="0.2">
      <c r="A145" s="303" t="s">
        <v>96</v>
      </c>
      <c r="B145" s="45" t="s">
        <v>7</v>
      </c>
      <c r="L145" s="45" t="s">
        <v>97</v>
      </c>
    </row>
    <row r="146" spans="1:13" x14ac:dyDescent="0.2">
      <c r="A146" s="303" t="s">
        <v>97</v>
      </c>
      <c r="B146" s="45" t="s">
        <v>3</v>
      </c>
      <c r="L146" s="45" t="s">
        <v>102</v>
      </c>
    </row>
    <row r="147" spans="1:13" x14ac:dyDescent="0.2">
      <c r="A147" s="303" t="s">
        <v>29</v>
      </c>
      <c r="B147" s="45" t="s">
        <v>3</v>
      </c>
      <c r="L147" s="108" t="s">
        <v>342</v>
      </c>
      <c r="M147" s="156"/>
    </row>
    <row r="148" spans="1:13" x14ac:dyDescent="0.2">
      <c r="A148" s="303" t="s">
        <v>99</v>
      </c>
      <c r="B148" s="45" t="s">
        <v>3</v>
      </c>
      <c r="L148" s="108" t="s">
        <v>1116</v>
      </c>
    </row>
    <row r="149" spans="1:13" x14ac:dyDescent="0.2">
      <c r="A149" s="303" t="s">
        <v>100</v>
      </c>
      <c r="B149" s="45" t="s">
        <v>12</v>
      </c>
      <c r="L149" s="108"/>
      <c r="M149" s="156"/>
    </row>
    <row r="150" spans="1:13" x14ac:dyDescent="0.2">
      <c r="A150" s="303" t="s">
        <v>101</v>
      </c>
      <c r="B150" s="45" t="s">
        <v>12</v>
      </c>
    </row>
    <row r="151" spans="1:13" x14ac:dyDescent="0.2">
      <c r="A151" s="303" t="s">
        <v>102</v>
      </c>
      <c r="B151" s="45" t="s">
        <v>3</v>
      </c>
    </row>
    <row r="152" spans="1:13" x14ac:dyDescent="0.2">
      <c r="A152" s="303" t="s">
        <v>103</v>
      </c>
      <c r="B152" s="45" t="s">
        <v>3</v>
      </c>
    </row>
    <row r="153" spans="1:13" x14ac:dyDescent="0.2">
      <c r="A153" s="303" t="s">
        <v>104</v>
      </c>
      <c r="B153" s="45" t="s">
        <v>3</v>
      </c>
    </row>
    <row r="154" spans="1:13" x14ac:dyDescent="0.2">
      <c r="A154" s="303" t="s">
        <v>328</v>
      </c>
      <c r="B154" s="45" t="s">
        <v>3</v>
      </c>
    </row>
    <row r="155" spans="1:13" x14ac:dyDescent="0.2">
      <c r="A155" s="303" t="s">
        <v>342</v>
      </c>
      <c r="B155" s="45" t="s">
        <v>3</v>
      </c>
    </row>
    <row r="156" spans="1:13" x14ac:dyDescent="0.2">
      <c r="A156" s="303" t="s">
        <v>143</v>
      </c>
      <c r="B156" s="45" t="s">
        <v>7</v>
      </c>
    </row>
    <row r="157" spans="1:13" x14ac:dyDescent="0.2">
      <c r="A157" s="303" t="s">
        <v>498</v>
      </c>
      <c r="B157" s="45" t="s">
        <v>12</v>
      </c>
    </row>
    <row r="158" spans="1:13" x14ac:dyDescent="0.2">
      <c r="A158" s="303" t="s">
        <v>1116</v>
      </c>
      <c r="B158" s="45" t="s">
        <v>12</v>
      </c>
    </row>
    <row r="159" spans="1:13" x14ac:dyDescent="0.2">
      <c r="A159" s="303" t="s">
        <v>1132</v>
      </c>
      <c r="B159" s="45" t="s">
        <v>12</v>
      </c>
    </row>
    <row r="161" spans="1:5" x14ac:dyDescent="0.2">
      <c r="A161" s="303" t="s">
        <v>1042</v>
      </c>
    </row>
    <row r="162" spans="1:5" x14ac:dyDescent="0.2">
      <c r="A162" s="303" t="s">
        <v>2</v>
      </c>
      <c r="B162" s="45">
        <v>1</v>
      </c>
    </row>
    <row r="163" spans="1:5" x14ac:dyDescent="0.2">
      <c r="A163" s="303" t="s">
        <v>7</v>
      </c>
      <c r="B163" s="45">
        <v>2</v>
      </c>
    </row>
    <row r="164" spans="1:5" x14ac:dyDescent="0.2">
      <c r="A164" s="303" t="s">
        <v>3</v>
      </c>
      <c r="B164" s="45">
        <v>2</v>
      </c>
    </row>
    <row r="165" spans="1:5" x14ac:dyDescent="0.2">
      <c r="A165" s="303" t="s">
        <v>4</v>
      </c>
      <c r="B165" s="45">
        <v>12</v>
      </c>
    </row>
    <row r="167" spans="1:5" x14ac:dyDescent="0.2">
      <c r="A167" s="302" t="s">
        <v>1043</v>
      </c>
    </row>
    <row r="168" spans="1:5" x14ac:dyDescent="0.2">
      <c r="A168" s="303" t="s">
        <v>277</v>
      </c>
      <c r="B168" s="156">
        <v>0.75</v>
      </c>
    </row>
    <row r="170" spans="1:5" x14ac:dyDescent="0.2">
      <c r="A170" s="302" t="s">
        <v>1105</v>
      </c>
    </row>
    <row r="171" spans="1:5" x14ac:dyDescent="0.2">
      <c r="A171" s="303" t="s">
        <v>452</v>
      </c>
      <c r="B171" s="45">
        <v>0</v>
      </c>
    </row>
    <row r="173" spans="1:5" x14ac:dyDescent="0.2">
      <c r="A173" s="302" t="s">
        <v>1130</v>
      </c>
      <c r="E173" s="45" t="s">
        <v>462</v>
      </c>
    </row>
    <row r="174" spans="1:5" x14ac:dyDescent="0.2">
      <c r="A174" s="303" t="s">
        <v>1128</v>
      </c>
      <c r="B174" s="45" t="s">
        <v>7</v>
      </c>
      <c r="C174" s="319">
        <v>0.2</v>
      </c>
      <c r="D174" s="45" t="s">
        <v>466</v>
      </c>
      <c r="E174" s="45">
        <v>1</v>
      </c>
    </row>
    <row r="176" spans="1:5" x14ac:dyDescent="0.2">
      <c r="A176" s="302" t="s">
        <v>1154</v>
      </c>
      <c r="B176" s="45">
        <v>500</v>
      </c>
    </row>
  </sheetData>
  <phoneticPr fontId="0" type="noConversion"/>
  <conditionalFormatting sqref="J25:L25">
    <cfRule type="expression" dxfId="2"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315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370</v>
      </c>
      <c r="H9" s="332">
        <v>25</v>
      </c>
      <c r="I9" s="340">
        <v>5</v>
      </c>
      <c r="J9" s="343"/>
      <c r="K9" s="344"/>
      <c r="L9" s="344"/>
      <c r="M9" s="344"/>
      <c r="N9" s="344"/>
      <c r="O9" s="344"/>
      <c r="P9" s="344"/>
      <c r="Q9" s="344"/>
      <c r="R9" s="344"/>
      <c r="S9" s="344"/>
      <c r="T9" s="344"/>
      <c r="U9" s="344"/>
      <c r="V9" s="344"/>
      <c r="W9" s="93"/>
      <c r="X9" s="330"/>
      <c r="Y9" s="344">
        <v>0.1</v>
      </c>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315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4</v>
      </c>
      <c r="F15" s="93">
        <v>4.5</v>
      </c>
      <c r="G15" s="93">
        <v>900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315</v>
      </c>
      <c r="H21" s="332">
        <v>15</v>
      </c>
      <c r="I21" s="340">
        <v>5</v>
      </c>
      <c r="J21" s="343">
        <v>0.05</v>
      </c>
      <c r="K21" s="344">
        <v>0.1</v>
      </c>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225</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300</v>
      </c>
      <c r="H29" s="332">
        <v>0</v>
      </c>
      <c r="I29" s="340">
        <v>5</v>
      </c>
      <c r="J29" s="343"/>
      <c r="K29" s="344"/>
      <c r="L29" s="344"/>
      <c r="M29" s="344">
        <v>0.05</v>
      </c>
      <c r="N29" s="344">
        <v>-0.15</v>
      </c>
      <c r="O29" s="344"/>
      <c r="P29" s="344"/>
      <c r="Q29" s="344"/>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315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380</v>
      </c>
      <c r="H37" s="332">
        <v>25</v>
      </c>
      <c r="I37" s="340">
        <v>5</v>
      </c>
      <c r="J37" s="343">
        <v>0.2</v>
      </c>
      <c r="K37" s="344"/>
      <c r="L37" s="344"/>
      <c r="M37" s="344"/>
      <c r="N37" s="344"/>
      <c r="O37" s="344"/>
      <c r="P37" s="344"/>
      <c r="Q37" s="344"/>
      <c r="R37" s="344"/>
      <c r="S37" s="344"/>
      <c r="T37" s="344"/>
      <c r="U37" s="344"/>
      <c r="V37" s="344"/>
      <c r="W37" s="329">
        <v>0.1</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225</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335</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360</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315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315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325</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315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1140</v>
      </c>
      <c r="E85" s="93">
        <v>3</v>
      </c>
      <c r="F85" s="93">
        <v>0</v>
      </c>
      <c r="G85" s="93">
        <v>315</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1134</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1133</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875</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337</vt:i4>
      </vt:variant>
    </vt:vector>
  </HeadingPairs>
  <TitlesOfParts>
    <vt:vector size="352"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alchemist_flame_invest</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2026-03-16T04:37:40Z</dcterms:modified>
</cp:coreProperties>
</file>