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1E15253D-98AC-499D-8ECA-6928108963D3}"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E26" i="6"/>
  <c r="BC4" i="5" s="1"/>
  <c r="D26" i="6"/>
  <c r="BB4" i="5" s="1"/>
  <c r="C26" i="6"/>
  <c r="B26" i="6"/>
  <c r="A26" i="6"/>
  <c r="AY4" i="5" s="1"/>
  <c r="BQ4" i="5"/>
  <c r="BP4" i="5"/>
  <c r="AZ4" i="5"/>
  <c r="L35" i="4"/>
  <c r="M35" i="4" s="1"/>
  <c r="M69" i="7" l="1"/>
  <c r="M68" i="7"/>
  <c r="M67" i="7"/>
  <c r="M66" i="7"/>
  <c r="M65" i="7"/>
  <c r="M64" i="7"/>
  <c r="M63" i="7"/>
  <c r="M62" i="7"/>
  <c r="M61" i="7"/>
  <c r="M60" i="7"/>
  <c r="M59" i="7"/>
  <c r="M58" i="7"/>
  <c r="M57" i="7"/>
  <c r="M56" i="7"/>
  <c r="M55" i="7"/>
  <c r="E15" i="4"/>
  <c r="Z4" i="8"/>
  <c r="D15" i="5"/>
  <c r="D14" i="5"/>
  <c r="D13" i="5"/>
  <c r="D12" i="5"/>
  <c r="D11" i="5"/>
  <c r="D10" i="5"/>
  <c r="D9" i="5"/>
  <c r="D8" i="5"/>
  <c r="D7" i="5"/>
  <c r="D6" i="5"/>
  <c r="D5" i="5"/>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L57" i="7"/>
  <c r="L58" i="7" s="1"/>
  <c r="L59" i="7" s="1"/>
  <c r="L60" i="7" s="1"/>
  <c r="L61" i="7" s="1"/>
  <c r="L62" i="7" s="1"/>
  <c r="L63" i="7" s="1"/>
  <c r="L64" i="7" s="1"/>
  <c r="L65" i="7" s="1"/>
  <c r="L66" i="7" s="1"/>
  <c r="L67" i="7" s="1"/>
  <c r="L68" i="7" s="1"/>
  <c r="L69" i="7" s="1"/>
  <c r="L56" i="7"/>
  <c r="BD4" i="5"/>
  <c r="BA4" i="5"/>
  <c r="B96" i="6" l="1"/>
  <c r="E98" i="4"/>
  <c r="E89"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99" i="8"/>
  <c r="CM98" i="8"/>
  <c r="CM129" i="8"/>
  <c r="CM64" i="8"/>
  <c r="CM48" i="8"/>
  <c r="CM32" i="8"/>
  <c r="CM130" i="8"/>
  <c r="CM65" i="8"/>
  <c r="CM111" i="8"/>
  <c r="CM95" i="8"/>
  <c r="CM63" i="8"/>
  <c r="CM47" i="8"/>
  <c r="CM31" i="8"/>
  <c r="CM112" i="8"/>
  <c r="CM126" i="8"/>
  <c r="CM110" i="8"/>
  <c r="CM94" i="8"/>
  <c r="CM62" i="8"/>
  <c r="CM46" i="8"/>
  <c r="CM115" i="8"/>
  <c r="CM66" i="8"/>
  <c r="CM97" i="8"/>
  <c r="CM125" i="8"/>
  <c r="CM109" i="8"/>
  <c r="CM93" i="8"/>
  <c r="CM61" i="8"/>
  <c r="CM45" i="8"/>
  <c r="CM124" i="8"/>
  <c r="CM108" i="8"/>
  <c r="CM92" i="8"/>
  <c r="CM60" i="8"/>
  <c r="CM44" i="8"/>
  <c r="CM123" i="8"/>
  <c r="CM107" i="8"/>
  <c r="CM91" i="8"/>
  <c r="CM75" i="8"/>
  <c r="CM59" i="8"/>
  <c r="CM43" i="8"/>
  <c r="CM35" i="8"/>
  <c r="CM49" i="8"/>
  <c r="CM122" i="8"/>
  <c r="CM106" i="8"/>
  <c r="CM90" i="8"/>
  <c r="CM74" i="8"/>
  <c r="CM58" i="8"/>
  <c r="CM42" i="8"/>
  <c r="CM33" i="8"/>
  <c r="CM121" i="8"/>
  <c r="CM105" i="8"/>
  <c r="CM89" i="8"/>
  <c r="CM73" i="8"/>
  <c r="CM57" i="8"/>
  <c r="CM41" i="8"/>
  <c r="CM34" i="8"/>
  <c r="CM128" i="8"/>
  <c r="CM120" i="8"/>
  <c r="CM104" i="8"/>
  <c r="CM88" i="8"/>
  <c r="CM72" i="8"/>
  <c r="CM56" i="8"/>
  <c r="CM40" i="8"/>
  <c r="CM8" i="8"/>
  <c r="CM67" i="8"/>
  <c r="CM113" i="8"/>
  <c r="CM135" i="8"/>
  <c r="CM119" i="8"/>
  <c r="CM103" i="8"/>
  <c r="CM71" i="8"/>
  <c r="CM55" i="8"/>
  <c r="CM39" i="8"/>
  <c r="CM7" i="8"/>
  <c r="CM50" i="8"/>
  <c r="CM96" i="8"/>
  <c r="CM134" i="8"/>
  <c r="CM118" i="8"/>
  <c r="CM102" i="8"/>
  <c r="CM70" i="8"/>
  <c r="CM54" i="8"/>
  <c r="CM38" i="8"/>
  <c r="CM6" i="8"/>
  <c r="CM131" i="8"/>
  <c r="CM114" i="8"/>
  <c r="CM133" i="8"/>
  <c r="CM117" i="8"/>
  <c r="CM101" i="8"/>
  <c r="CM69" i="8"/>
  <c r="CM53" i="8"/>
  <c r="CM37" i="8"/>
  <c r="CM5" i="8"/>
  <c r="CM127" i="8"/>
  <c r="CM132" i="8"/>
  <c r="CM116" i="8"/>
  <c r="CM100" i="8"/>
  <c r="CM68" i="8"/>
  <c r="CM52" i="8"/>
  <c r="CM36" i="8"/>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6" i="4"/>
  <c r="E97" i="4"/>
  <c r="E95" i="4"/>
  <c r="E94" i="4"/>
  <c r="D94" i="4"/>
  <c r="A4" i="1"/>
  <c r="J53" i="8" l="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6" i="4"/>
  <c r="I17" i="4"/>
  <c r="I18" i="4"/>
  <c r="I19" i="4"/>
  <c r="I20" i="4"/>
  <c r="I21" i="4"/>
  <c r="I22" i="4"/>
  <c r="I23" i="4"/>
  <c r="I24" i="4"/>
  <c r="I25" i="4"/>
  <c r="I26" i="4"/>
  <c r="I27" i="4"/>
  <c r="I28" i="4"/>
  <c r="I29" i="4"/>
  <c r="I30" i="4"/>
  <c r="I31" i="4"/>
  <c r="I32" i="4"/>
  <c r="I33"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I68" i="4" l="1"/>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I9" i="9" l="1"/>
  <c r="C22" i="4"/>
  <c r="B22" i="4"/>
  <c r="D26" i="5"/>
  <c r="AI10" i="9" l="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4" i="14"/>
  <c r="CA4" i="14" s="1"/>
  <c r="AI15" i="9" l="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H6" i="9"/>
  <c r="AG6" i="9"/>
  <c r="AK6" i="9"/>
  <c r="AE6" i="9"/>
  <c r="AM6" i="9"/>
  <c r="AI17" i="9" l="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H53" i="8" l="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33" i="6"/>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71"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E72" i="4" l="1"/>
  <c r="BW4" i="11"/>
  <c r="B54"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V4" i="2" l="1"/>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I24" i="9" l="1"/>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M9" i="8" s="1"/>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V4" i="5" l="1"/>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M10" i="8" s="1"/>
  <c r="CG9" i="8"/>
  <c r="AH15" i="9"/>
  <c r="CZ6" i="5"/>
  <c r="C6" i="5"/>
  <c r="DA5" i="5"/>
  <c r="DG5" i="5" s="1" a="1"/>
  <c r="DG5" i="5" s="1"/>
  <c r="AB6" i="1"/>
  <c r="DI6" i="5"/>
  <c r="AG15" i="9"/>
  <c r="AK15" i="9"/>
  <c r="AE15" i="9"/>
  <c r="B6" i="5"/>
  <c r="S8" i="2"/>
  <c r="P9" i="2"/>
  <c r="R9" i="2"/>
  <c r="Q8" i="2"/>
  <c r="M9" i="2"/>
  <c r="J10" i="10"/>
  <c r="N10" i="5" s="1"/>
  <c r="F7" i="12"/>
  <c r="E7" i="12" s="1"/>
  <c r="D8" i="12"/>
  <c r="J10" i="12"/>
  <c r="I11" i="12"/>
  <c r="AV5" i="5" l="1"/>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AO4" i="5"/>
  <c r="BP8" i="5" a="1"/>
  <c r="BP8" i="5" s="1"/>
  <c r="BH5" i="8"/>
  <c r="BU5" i="8" s="1"/>
  <c r="O13" i="1"/>
  <c r="AM4" i="5"/>
  <c r="BU4" i="8"/>
  <c r="BT4" i="8"/>
  <c r="BP4" i="8"/>
  <c r="BQ4" i="8"/>
  <c r="BN4" i="8"/>
  <c r="BO4" i="8"/>
  <c r="BL4" i="8"/>
  <c r="BM4" i="8"/>
  <c r="BJ4" i="8"/>
  <c r="BK4" i="8"/>
  <c r="BX4" i="8"/>
  <c r="CD4" i="8" s="1"/>
  <c r="AC4" i="10"/>
  <c r="X4" i="10" s="1"/>
  <c r="AN4" i="5"/>
  <c r="AR4" i="5" s="1"/>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M11" i="8" s="1"/>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V6" i="5" l="1"/>
  <c r="AW6" i="5"/>
  <c r="AF5" i="7"/>
  <c r="AG5" i="7"/>
  <c r="AF4"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AO5" i="5"/>
  <c r="BP9" i="5" a="1"/>
  <c r="BP9" i="5" s="1"/>
  <c r="BT5" i="8"/>
  <c r="AI4" i="7"/>
  <c r="AA4" i="8" s="1"/>
  <c r="O14" i="1"/>
  <c r="CE4" i="8"/>
  <c r="CX4" i="8" s="1"/>
  <c r="CY4" i="8" s="1"/>
  <c r="BO5" i="8"/>
  <c r="BP5" i="8"/>
  <c r="BM5" i="8"/>
  <c r="BN5" i="8"/>
  <c r="BK5" i="8"/>
  <c r="BL5" i="8"/>
  <c r="BJ5" i="8"/>
  <c r="AC5" i="10"/>
  <c r="X5" i="10" s="1"/>
  <c r="AM5" i="5"/>
  <c r="AN5" i="5"/>
  <c r="AR5" i="5"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M12" i="8" s="1"/>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V7" i="5" l="1"/>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AO6" i="5"/>
  <c r="BP10" i="5" a="1"/>
  <c r="BP10" i="5" s="1"/>
  <c r="O15" i="1"/>
  <c r="D7" i="9"/>
  <c r="BT6" i="8"/>
  <c r="BO6" i="8"/>
  <c r="BP6" i="8"/>
  <c r="BM6" i="8"/>
  <c r="BN6" i="8"/>
  <c r="BK6" i="8"/>
  <c r="BL6" i="8"/>
  <c r="BJ6" i="8"/>
  <c r="AC6" i="10"/>
  <c r="X6" i="10" s="1"/>
  <c r="AM6" i="5"/>
  <c r="AN6" i="5"/>
  <c r="AR6" i="5" s="1"/>
  <c r="AS10" i="5"/>
  <c r="H4" i="11"/>
  <c r="E13" i="8"/>
  <c r="CM13" i="8" s="1"/>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V8" i="5" l="1"/>
  <c r="AW8" i="5"/>
  <c r="BF11" i="5" a="1"/>
  <c r="BF11" i="5" s="1"/>
  <c r="AE10" i="1" s="1"/>
  <c r="AF6" i="7"/>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AO7" i="5"/>
  <c r="BP11" i="5" a="1"/>
  <c r="BP11" i="5" s="1"/>
  <c r="O16" i="1"/>
  <c r="BT7" i="8"/>
  <c r="BO7" i="8"/>
  <c r="BP7" i="8"/>
  <c r="BM7" i="8"/>
  <c r="BN7" i="8"/>
  <c r="BK7" i="8"/>
  <c r="BL7" i="8"/>
  <c r="BJ7" i="8"/>
  <c r="AC7" i="10"/>
  <c r="X7" i="10" s="1"/>
  <c r="AN7" i="5"/>
  <c r="AR7" i="5" s="1"/>
  <c r="AM7" i="5"/>
  <c r="AS11" i="5"/>
  <c r="E14" i="8"/>
  <c r="CM14" i="8" s="1"/>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CZ10" i="5"/>
  <c r="C10" i="5"/>
  <c r="DA9" i="5"/>
  <c r="DG9" i="5" s="1" a="1"/>
  <c r="DG9" i="5" s="1"/>
  <c r="AB10" i="1"/>
  <c r="DI10" i="5"/>
  <c r="AG19" i="9"/>
  <c r="AK19" i="9"/>
  <c r="AE81" i="9"/>
  <c r="S12" i="2"/>
  <c r="P13" i="2"/>
  <c r="N13" i="2"/>
  <c r="R13" i="2"/>
  <c r="Q12" i="2"/>
  <c r="D12" i="12"/>
  <c r="F11" i="12"/>
  <c r="E11" i="12" s="1"/>
  <c r="M13" i="2"/>
  <c r="J14" i="10"/>
  <c r="N14" i="5" s="1"/>
  <c r="I15" i="12"/>
  <c r="J14" i="12"/>
  <c r="AV9" i="5" l="1"/>
  <c r="AW9" i="5"/>
  <c r="BF12" i="5" a="1"/>
  <c r="BF12" i="5" s="1"/>
  <c r="AE11" i="1" s="1"/>
  <c r="J11" i="2"/>
  <c r="AF7" i="7"/>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AO8" i="5"/>
  <c r="BP12" i="5" a="1"/>
  <c r="BP12" i="5" s="1"/>
  <c r="J12" i="2" s="1"/>
  <c r="O17" i="1"/>
  <c r="BT8" i="8"/>
  <c r="BO8" i="8"/>
  <c r="BP8" i="8"/>
  <c r="BM8" i="8"/>
  <c r="BN8" i="8"/>
  <c r="BK8" i="8"/>
  <c r="BL8" i="8"/>
  <c r="BJ8" i="8"/>
  <c r="AC8" i="10"/>
  <c r="X8" i="10" s="1"/>
  <c r="AN8" i="5"/>
  <c r="AR8" i="5" s="1"/>
  <c r="AM8" i="5"/>
  <c r="AS12" i="5"/>
  <c r="E15" i="8"/>
  <c r="CM15"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CK9" i="8"/>
  <c r="CG14" i="8"/>
  <c r="BW9" i="8"/>
  <c r="AC9" i="1" s="1"/>
  <c r="BX8" i="8"/>
  <c r="CE8" i="8" s="1"/>
  <c r="N8" i="7"/>
  <c r="BH9" i="8"/>
  <c r="BU9" i="8" s="1"/>
  <c r="BI9" i="8"/>
  <c r="AH20" i="9"/>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BF13" i="5" l="1" a="1"/>
  <c r="BF13" i="5" s="1"/>
  <c r="AE12" i="1" s="1"/>
  <c r="AV10" i="5"/>
  <c r="AW10" i="5"/>
  <c r="AF8" i="7"/>
  <c r="AG8" i="7"/>
  <c r="AI8" i="7" s="1"/>
  <c r="K53" i="8"/>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CL10" i="8"/>
  <c r="F16" i="8"/>
  <c r="F17" i="8" s="1"/>
  <c r="E16" i="8"/>
  <c r="AI31" i="9"/>
  <c r="AO31" i="8"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AO9" i="5"/>
  <c r="BP13" i="5" a="1"/>
  <c r="BP13" i="5" s="1"/>
  <c r="J13" i="2" s="1"/>
  <c r="X10" i="8"/>
  <c r="DD10" i="8" s="1"/>
  <c r="O18" i="1"/>
  <c r="BT9" i="8"/>
  <c r="BO9" i="8"/>
  <c r="BP9" i="8"/>
  <c r="BM9" i="8"/>
  <c r="BN9" i="8"/>
  <c r="BK9" i="8"/>
  <c r="BL9" i="8"/>
  <c r="BJ9" i="8"/>
  <c r="AC9" i="10"/>
  <c r="X9" i="10" s="1"/>
  <c r="AM9" i="5"/>
  <c r="AN9" i="5"/>
  <c r="AR9" i="5" s="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V11" i="5" l="1"/>
  <c r="AW11" i="5"/>
  <c r="E17" i="8"/>
  <c r="CM17" i="8" s="1"/>
  <c r="CM16" i="8"/>
  <c r="AF9" i="7"/>
  <c r="AG9" i="7"/>
  <c r="AI9" i="7" s="1"/>
  <c r="CL11" i="8"/>
  <c r="P9" i="8"/>
  <c r="CB10" i="8"/>
  <c r="CT10" i="8" s="1"/>
  <c r="AC10" i="1"/>
  <c r="AI32" i="9"/>
  <c r="AO32" i="8" s="1"/>
  <c r="G16" i="8"/>
  <c r="CF15" i="8"/>
  <c r="O15" i="2"/>
  <c r="AZ15" i="5" a="1"/>
  <c r="AZ15" i="5" s="1"/>
  <c r="AZ16" i="5" s="1" a="1"/>
  <c r="AZ16"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F15" i="5" a="1"/>
  <c r="BF15" i="5" s="1"/>
  <c r="BF16" i="5" s="1" a="1"/>
  <c r="BF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AO10" i="5"/>
  <c r="BP14" i="5" a="1"/>
  <c r="BP14" i="5" s="1"/>
  <c r="J14" i="2" s="1"/>
  <c r="DH11" i="8"/>
  <c r="DI11" i="8" s="1"/>
  <c r="O19" i="1"/>
  <c r="BT10" i="8"/>
  <c r="BO10" i="8"/>
  <c r="BP10" i="8"/>
  <c r="BM10" i="8"/>
  <c r="BN10" i="8"/>
  <c r="AN10" i="5"/>
  <c r="AR10" i="5" s="1"/>
  <c r="BK10" i="8"/>
  <c r="BL10" i="8"/>
  <c r="BJ10" i="8"/>
  <c r="AC10" i="10"/>
  <c r="X10" i="10" s="1"/>
  <c r="AM10" i="5"/>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V12" i="5" l="1"/>
  <c r="AW12" i="5"/>
  <c r="E18" i="8"/>
  <c r="CM18" i="8" s="1"/>
  <c r="AF11" i="7"/>
  <c r="AG11" i="7"/>
  <c r="AF10" i="7"/>
  <c r="AG10" i="7"/>
  <c r="AI10" i="7" s="1"/>
  <c r="AE14" i="1"/>
  <c r="AE15" i="1"/>
  <c r="CL12" i="8"/>
  <c r="BY11" i="8"/>
  <c r="CQ11" i="8" s="1"/>
  <c r="CU11" i="8" s="1"/>
  <c r="AC11" i="1"/>
  <c r="AI33" i="9"/>
  <c r="AO33" i="8" s="1"/>
  <c r="G17" i="8"/>
  <c r="CF16" i="8"/>
  <c r="O16" i="2"/>
  <c r="AM23" i="9"/>
  <c r="BR11" i="8"/>
  <c r="BS11" i="8"/>
  <c r="AD14" i="1"/>
  <c r="CV16" i="5"/>
  <c r="CT16" i="5"/>
  <c r="CS16" i="5"/>
  <c r="CR16" i="5"/>
  <c r="CU16" i="5"/>
  <c r="CW16" i="5"/>
  <c r="CQ16" i="5"/>
  <c r="V14" i="2"/>
  <c r="CI11" i="8"/>
  <c r="DA11" i="8" s="1"/>
  <c r="F19" i="8"/>
  <c r="CQ10" i="8"/>
  <c r="CU10" i="8" s="1"/>
  <c r="AO11" i="5"/>
  <c r="BP15" i="5" a="1"/>
  <c r="BP15" i="5" s="1"/>
  <c r="BP16" i="5" s="1" a="1"/>
  <c r="BP16" i="5" s="1"/>
  <c r="DH12" i="8"/>
  <c r="DI12" i="8" s="1"/>
  <c r="O20" i="1"/>
  <c r="BT11" i="8"/>
  <c r="BO11" i="8"/>
  <c r="BP11" i="8"/>
  <c r="BM11" i="8"/>
  <c r="BN11" i="8"/>
  <c r="BK11" i="8"/>
  <c r="BL11" i="8"/>
  <c r="BJ11" i="8"/>
  <c r="AC11" i="10"/>
  <c r="X11" i="10" s="1"/>
  <c r="AM11" i="5"/>
  <c r="AN11" i="5"/>
  <c r="AR11" i="5"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V13" i="5" l="1"/>
  <c r="AW13" i="5"/>
  <c r="AI11" i="7"/>
  <c r="E19" i="8"/>
  <c r="CM19" i="8" s="1"/>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AO12" i="5"/>
  <c r="J16" i="2"/>
  <c r="B13" i="9"/>
  <c r="Y13" i="9" s="1"/>
  <c r="O21" i="1"/>
  <c r="BX12" i="8"/>
  <c r="CD12" i="8" s="1"/>
  <c r="BT12" i="8"/>
  <c r="BO12" i="8"/>
  <c r="BP12" i="8"/>
  <c r="BM12" i="8"/>
  <c r="BN12" i="8"/>
  <c r="BK12" i="8"/>
  <c r="BL12" i="8"/>
  <c r="BJ12" i="8"/>
  <c r="AC12" i="10"/>
  <c r="X12" i="10" s="1"/>
  <c r="AN12" i="5"/>
  <c r="AR12" i="5" s="1"/>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V14" i="5" l="1"/>
  <c r="AW14" i="5"/>
  <c r="E20" i="8"/>
  <c r="CM20" i="8" s="1"/>
  <c r="AF12" i="7"/>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AO13" i="5"/>
  <c r="BP17" i="5" a="1"/>
  <c r="BP17" i="5" s="1"/>
  <c r="J17" i="2" s="1"/>
  <c r="O22" i="1"/>
  <c r="CE12" i="8"/>
  <c r="CX12" i="8" s="1"/>
  <c r="CY12" i="8" s="1"/>
  <c r="BT13" i="8"/>
  <c r="BO13" i="8"/>
  <c r="BP13" i="8"/>
  <c r="BM13" i="8"/>
  <c r="BN13" i="8"/>
  <c r="BK13" i="8"/>
  <c r="BL13" i="8"/>
  <c r="BJ13" i="8"/>
  <c r="AC13" i="10"/>
  <c r="X13" i="10" s="1"/>
  <c r="AM13" i="5"/>
  <c r="AN13" i="5"/>
  <c r="AR13" i="5"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V15" i="5" l="1"/>
  <c r="AW15" i="5"/>
  <c r="AF13" i="7"/>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AO14" i="5"/>
  <c r="BP18" i="5" a="1"/>
  <c r="BP18" i="5" s="1"/>
  <c r="J18" i="2" s="1"/>
  <c r="BH15" i="8"/>
  <c r="BU15" i="8" s="1"/>
  <c r="O23" i="1"/>
  <c r="BT14" i="8"/>
  <c r="BU14" i="8"/>
  <c r="BO14" i="8"/>
  <c r="BP14" i="8"/>
  <c r="BM14" i="8"/>
  <c r="BN14" i="8"/>
  <c r="BK14" i="8"/>
  <c r="BL14" i="8"/>
  <c r="BJ14" i="8"/>
  <c r="AC14" i="10"/>
  <c r="X14" i="10" s="1"/>
  <c r="AM14" i="5"/>
  <c r="AN14" i="5"/>
  <c r="AR14" i="5" s="1"/>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V16" i="5" l="1"/>
  <c r="AW16" i="5"/>
  <c r="AF14" i="7"/>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AO15" i="5"/>
  <c r="BP19" i="5" a="1"/>
  <c r="BP19" i="5" s="1"/>
  <c r="J19" i="2" s="1"/>
  <c r="O24" i="1"/>
  <c r="BO15" i="8"/>
  <c r="BP15" i="8"/>
  <c r="BM15" i="8"/>
  <c r="BN15" i="8"/>
  <c r="BK15" i="8"/>
  <c r="BL15" i="8"/>
  <c r="BJ15" i="8"/>
  <c r="AC15" i="10"/>
  <c r="X15" i="10" s="1"/>
  <c r="AM15" i="5"/>
  <c r="AN15" i="5"/>
  <c r="AR15" i="5" s="1"/>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V17" i="5" l="1"/>
  <c r="AW17" i="5"/>
  <c r="AF15" i="7"/>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AO16" i="5"/>
  <c r="BP20" i="5" a="1"/>
  <c r="BP20" i="5" s="1"/>
  <c r="J20" i="2" s="1"/>
  <c r="O25" i="1"/>
  <c r="BT16" i="8"/>
  <c r="BO16" i="8"/>
  <c r="BP16" i="8"/>
  <c r="BM16" i="8"/>
  <c r="BN16" i="8"/>
  <c r="BK16" i="8"/>
  <c r="BL16" i="8"/>
  <c r="BJ16" i="8"/>
  <c r="AC16" i="10"/>
  <c r="X16" i="10" s="1"/>
  <c r="AM16" i="5"/>
  <c r="AN16" i="5"/>
  <c r="AR16" i="5" s="1"/>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V18" i="5" l="1"/>
  <c r="AW18" i="5"/>
  <c r="AF16" i="7"/>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AO17" i="5"/>
  <c r="BP21" i="5" a="1"/>
  <c r="BP21" i="5" s="1"/>
  <c r="J21" i="2" s="1"/>
  <c r="AI18" i="5"/>
  <c r="AN18" i="5" s="1"/>
  <c r="O26" i="1"/>
  <c r="BT17" i="8"/>
  <c r="BO17" i="8"/>
  <c r="BP17" i="8"/>
  <c r="BM17" i="8"/>
  <c r="BN17" i="8"/>
  <c r="BK17" i="8"/>
  <c r="BL17" i="8"/>
  <c r="BJ17" i="8"/>
  <c r="AC17" i="10"/>
  <c r="X17" i="10" s="1"/>
  <c r="AM17" i="5"/>
  <c r="AN17" i="5"/>
  <c r="AR17" i="5"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R18" i="5" l="1"/>
  <c r="AV19" i="5"/>
  <c r="AW19" i="5"/>
  <c r="AF17" i="7"/>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AO18" i="5"/>
  <c r="AM18" i="5"/>
  <c r="BP22" i="5" a="1"/>
  <c r="BP22" i="5" s="1"/>
  <c r="J22" i="2" s="1"/>
  <c r="O27" i="1"/>
  <c r="BT18" i="8"/>
  <c r="BO18" i="8"/>
  <c r="BP18" i="8"/>
  <c r="BM18" i="8"/>
  <c r="BN18" i="8"/>
  <c r="BK18" i="8"/>
  <c r="BL18" i="8"/>
  <c r="BJ18" i="8"/>
  <c r="AC18" i="10"/>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V20" i="5" l="1"/>
  <c r="AW20" i="5"/>
  <c r="AF18" i="7"/>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AO19" i="5"/>
  <c r="BP23" i="5" a="1"/>
  <c r="BP23" i="5" s="1"/>
  <c r="J23" i="2" s="1"/>
  <c r="O28" i="1"/>
  <c r="X18" i="10"/>
  <c r="BT19" i="8"/>
  <c r="BU19" i="8"/>
  <c r="BO19" i="8"/>
  <c r="BP19" i="8"/>
  <c r="BM19" i="8"/>
  <c r="BN19" i="8"/>
  <c r="BK19" i="8"/>
  <c r="BL19" i="8"/>
  <c r="BJ19" i="8"/>
  <c r="AN19" i="5"/>
  <c r="AR19" i="5" s="1"/>
  <c r="AC19" i="10"/>
  <c r="X19" i="10" s="1"/>
  <c r="AM19" i="5"/>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V21" i="5" l="1"/>
  <c r="AW21" i="5"/>
  <c r="AF19" i="7"/>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AO20" i="5"/>
  <c r="BP24" i="5" a="1"/>
  <c r="BP24" i="5" s="1"/>
  <c r="J24" i="2" s="1"/>
  <c r="DH21" i="8"/>
  <c r="DI21" i="8" s="1"/>
  <c r="O29" i="1"/>
  <c r="BT20" i="8"/>
  <c r="BO20" i="8"/>
  <c r="BP20" i="8"/>
  <c r="BM20" i="8"/>
  <c r="BN20" i="8"/>
  <c r="BK20" i="8"/>
  <c r="BL20" i="8"/>
  <c r="BJ20" i="8"/>
  <c r="AC20" i="10"/>
  <c r="X20" i="10" s="1"/>
  <c r="AM20" i="5"/>
  <c r="AN20" i="5"/>
  <c r="AR20" i="5"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V22" i="5" l="1"/>
  <c r="AW22" i="5"/>
  <c r="AF21" i="7"/>
  <c r="AG21" i="7"/>
  <c r="AF20"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AO21" i="5"/>
  <c r="BP25" i="5" a="1"/>
  <c r="BP25" i="5" s="1"/>
  <c r="J25" i="2" s="1"/>
  <c r="O30" i="1"/>
  <c r="BT21" i="8"/>
  <c r="BO21" i="8"/>
  <c r="BP21" i="8"/>
  <c r="BM21" i="8"/>
  <c r="BN21" i="8"/>
  <c r="BK21" i="8"/>
  <c r="BL21" i="8"/>
  <c r="BJ21" i="8"/>
  <c r="AC21" i="10"/>
  <c r="X21" i="10" s="1"/>
  <c r="AM21" i="5"/>
  <c r="AN21" i="5"/>
  <c r="AR21" i="5" s="1"/>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V23" i="5" l="1"/>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AO22" i="5"/>
  <c r="BP26" i="5" a="1"/>
  <c r="BP26" i="5" s="1"/>
  <c r="J26" i="2" s="1"/>
  <c r="DH23" i="8"/>
  <c r="DI23" i="8" s="1"/>
  <c r="O31" i="1"/>
  <c r="BT22" i="8"/>
  <c r="BO22" i="8"/>
  <c r="BP22" i="8"/>
  <c r="BM22" i="8"/>
  <c r="BN22" i="8"/>
  <c r="BK22" i="8"/>
  <c r="BL22" i="8"/>
  <c r="BJ22" i="8"/>
  <c r="AC22" i="10"/>
  <c r="X22" i="10" s="1"/>
  <c r="AM22" i="5"/>
  <c r="AN22" i="5"/>
  <c r="AR22" i="5" s="1"/>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V24" i="5" l="1"/>
  <c r="AW24" i="5"/>
  <c r="AF22" i="7"/>
  <c r="AG22" i="7"/>
  <c r="AI22" i="7" s="1"/>
  <c r="AF23" i="7"/>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AO23" i="5"/>
  <c r="BP27" i="5" a="1"/>
  <c r="BP27" i="5" s="1"/>
  <c r="J27" i="2" s="1"/>
  <c r="O32" i="1"/>
  <c r="BT23" i="8"/>
  <c r="AN23" i="5"/>
  <c r="AR23" i="5" s="1"/>
  <c r="BO23" i="8"/>
  <c r="BP23" i="8"/>
  <c r="BM23" i="8"/>
  <c r="BN23" i="8"/>
  <c r="BK23" i="8"/>
  <c r="BL23" i="8"/>
  <c r="BJ23" i="8"/>
  <c r="AC23" i="10"/>
  <c r="X23" i="10" s="1"/>
  <c r="AM23" i="5"/>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I23" i="7" l="1"/>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AO24" i="5"/>
  <c r="BP28" i="5" a="1"/>
  <c r="BP28" i="5" s="1"/>
  <c r="J28" i="2" s="1"/>
  <c r="BI25" i="8"/>
  <c r="AT28" i="5"/>
  <c r="O33" i="1"/>
  <c r="BT24" i="8"/>
  <c r="BU24" i="8"/>
  <c r="BO24" i="8"/>
  <c r="BP24" i="8"/>
  <c r="BM24" i="8"/>
  <c r="BN24" i="8"/>
  <c r="BK24" i="8"/>
  <c r="BL24" i="8"/>
  <c r="BJ24" i="8"/>
  <c r="AC24" i="10"/>
  <c r="X24" i="10" s="1"/>
  <c r="AM24" i="5"/>
  <c r="AN24" i="5"/>
  <c r="AR24" i="5" s="1"/>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V26" i="5" l="1"/>
  <c r="AW26" i="5"/>
  <c r="AF24" i="7"/>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AO25" i="5"/>
  <c r="BP29" i="5" a="1"/>
  <c r="BP29" i="5" s="1"/>
  <c r="J29" i="2" s="1"/>
  <c r="O34" i="1"/>
  <c r="BT25" i="8"/>
  <c r="BO25" i="8"/>
  <c r="BP25" i="8"/>
  <c r="BM25" i="8"/>
  <c r="BN25" i="8"/>
  <c r="BK25" i="8"/>
  <c r="BL25" i="8"/>
  <c r="BJ25" i="8"/>
  <c r="AC25" i="10"/>
  <c r="X25" i="10" s="1"/>
  <c r="AM25" i="5"/>
  <c r="AN25" i="5"/>
  <c r="AR25" i="5" s="1"/>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V27" i="5" l="1"/>
  <c r="AW27" i="5"/>
  <c r="AF25" i="7"/>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AO26" i="5"/>
  <c r="BP30" i="5" a="1"/>
  <c r="BP30" i="5" s="1"/>
  <c r="J30" i="2" s="1"/>
  <c r="O35" i="1"/>
  <c r="BT26" i="8"/>
  <c r="BU26" i="8"/>
  <c r="BO26" i="8"/>
  <c r="BP26" i="8"/>
  <c r="BM26" i="8"/>
  <c r="BN26" i="8"/>
  <c r="BK26" i="8"/>
  <c r="BL26" i="8"/>
  <c r="BJ26" i="8"/>
  <c r="AC26" i="10"/>
  <c r="X26" i="10" s="1"/>
  <c r="AM26" i="5"/>
  <c r="AN26" i="5"/>
  <c r="AR26" i="5" s="1"/>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V28" i="5" l="1"/>
  <c r="AW28" i="5"/>
  <c r="AF26" i="7"/>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AO27" i="5"/>
  <c r="BP31" i="5" a="1"/>
  <c r="BP31" i="5" s="1"/>
  <c r="J31" i="2" s="1"/>
  <c r="E28" i="1"/>
  <c r="O36" i="1"/>
  <c r="BX27" i="8"/>
  <c r="CD27" i="8" s="1"/>
  <c r="BT27" i="8"/>
  <c r="BO27" i="8"/>
  <c r="BP27" i="8"/>
  <c r="BM27" i="8"/>
  <c r="BN27" i="8"/>
  <c r="BK27" i="8"/>
  <c r="BL27" i="8"/>
  <c r="BJ27" i="8"/>
  <c r="AC27" i="10"/>
  <c r="X27" i="10" s="1"/>
  <c r="AN27" i="5"/>
  <c r="AR27" i="5" s="1"/>
  <c r="AM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V29" i="5" l="1"/>
  <c r="AW29" i="5"/>
  <c r="AF27" i="7"/>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AO28" i="5"/>
  <c r="BP32" i="5" a="1"/>
  <c r="BP32" i="5" s="1"/>
  <c r="J32" i="2" s="1"/>
  <c r="DH29" i="8"/>
  <c r="DI29" i="8" s="1"/>
  <c r="O37" i="1"/>
  <c r="CE27" i="8"/>
  <c r="CX27" i="8" s="1"/>
  <c r="CY27" i="8" s="1"/>
  <c r="BX28" i="8"/>
  <c r="CD28" i="8" s="1"/>
  <c r="BT28" i="8"/>
  <c r="BO28" i="8"/>
  <c r="BP28" i="8"/>
  <c r="BM28" i="8"/>
  <c r="BN28" i="8"/>
  <c r="BK28" i="8"/>
  <c r="BL28" i="8"/>
  <c r="BJ28" i="8"/>
  <c r="AC28" i="10"/>
  <c r="X28" i="10" s="1"/>
  <c r="AN28" i="5"/>
  <c r="AR28" i="5" s="1"/>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V30" i="5" l="1"/>
  <c r="AW30" i="5"/>
  <c r="AF28" i="7"/>
  <c r="AG28" i="7"/>
  <c r="AI28" i="7" s="1"/>
  <c r="AF29" i="7"/>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AO29" i="5"/>
  <c r="BP33" i="5" a="1"/>
  <c r="BP33" i="5" s="1"/>
  <c r="J33" i="2" s="1"/>
  <c r="DH30" i="8"/>
  <c r="DI30" i="8" s="1"/>
  <c r="O38" i="1"/>
  <c r="CE28" i="8"/>
  <c r="CX28" i="8" s="1"/>
  <c r="CY28" i="8" s="1"/>
  <c r="BT29" i="8"/>
  <c r="BO29" i="8"/>
  <c r="BP29" i="8"/>
  <c r="BM29" i="8"/>
  <c r="BN29" i="8"/>
  <c r="BK29" i="8"/>
  <c r="BL29" i="8"/>
  <c r="BJ29" i="8"/>
  <c r="AC29" i="10"/>
  <c r="X29" i="10" s="1"/>
  <c r="AN29" i="5"/>
  <c r="AR29" i="5" s="1"/>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V31" i="5" l="1"/>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AO30" i="5"/>
  <c r="BP34" i="5" a="1"/>
  <c r="BP34" i="5" s="1"/>
  <c r="J34" i="2" s="1"/>
  <c r="A31" i="10"/>
  <c r="AA31" i="10" s="1"/>
  <c r="O39" i="1"/>
  <c r="BT30" i="8"/>
  <c r="BO30" i="8"/>
  <c r="BP30" i="8"/>
  <c r="BM30" i="8"/>
  <c r="BN30" i="8"/>
  <c r="BK30" i="8"/>
  <c r="BL30" i="8"/>
  <c r="BJ30" i="8"/>
  <c r="AC30" i="10"/>
  <c r="X30" i="10" s="1"/>
  <c r="AM30" i="5"/>
  <c r="AN30" i="5"/>
  <c r="AR30" i="5"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V32" i="5" l="1"/>
  <c r="AW32" i="5"/>
  <c r="AI53" i="9"/>
  <c r="AO53" i="8" s="1"/>
  <c r="AF31" i="7"/>
  <c r="AG31" i="7"/>
  <c r="AF30"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AO31" i="5"/>
  <c r="BP35" i="5" a="1"/>
  <c r="BP35" i="5" s="1"/>
  <c r="J35" i="2" s="1"/>
  <c r="BH32" i="8"/>
  <c r="BU32" i="8" s="1"/>
  <c r="O40" i="1"/>
  <c r="BX31" i="8"/>
  <c r="CD31" i="8" s="1"/>
  <c r="BT31" i="8"/>
  <c r="BO31" i="8"/>
  <c r="BP31" i="8"/>
  <c r="BM31" i="8"/>
  <c r="BN31" i="8"/>
  <c r="BK31" i="8"/>
  <c r="BL31" i="8"/>
  <c r="BJ31" i="8"/>
  <c r="AC31" i="10"/>
  <c r="X31" i="10" s="1"/>
  <c r="AN31" i="5"/>
  <c r="AR31" i="5" s="1"/>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V33" i="5" l="1"/>
  <c r="AW33" i="5"/>
  <c r="AI54" i="9"/>
  <c r="AO54" i="8" s="1"/>
  <c r="AI31" i="7"/>
  <c r="AF32"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AO32" i="5"/>
  <c r="BP36" i="5" a="1"/>
  <c r="BP36" i="5" s="1"/>
  <c r="J36" i="2" s="1"/>
  <c r="BT32" i="8"/>
  <c r="BX32" i="8"/>
  <c r="CD32" i="8" s="1"/>
  <c r="D33" i="9"/>
  <c r="O41" i="1"/>
  <c r="CE31" i="8"/>
  <c r="CX31" i="8" s="1"/>
  <c r="CY31" i="8" s="1"/>
  <c r="BO32" i="8"/>
  <c r="BP32" i="8"/>
  <c r="BM32" i="8"/>
  <c r="BN32" i="8"/>
  <c r="BK32" i="8"/>
  <c r="BL32" i="8"/>
  <c r="BJ32" i="8"/>
  <c r="AC32" i="10"/>
  <c r="X32" i="10" s="1"/>
  <c r="AM32" i="5"/>
  <c r="AN32" i="5"/>
  <c r="AR32" i="5"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I55" i="9" l="1"/>
  <c r="AO55" i="8" s="1"/>
  <c r="AV34" i="5"/>
  <c r="AW34" i="5"/>
  <c r="AI32" i="7"/>
  <c r="CL34" i="8"/>
  <c r="AI56" i="9"/>
  <c r="AO56" i="8" s="1"/>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AO33" i="5"/>
  <c r="BP37" i="5" a="1"/>
  <c r="BP37" i="5" s="1"/>
  <c r="J37" i="2" s="1"/>
  <c r="O42" i="1"/>
  <c r="BT33" i="8"/>
  <c r="BO33" i="8"/>
  <c r="BP33" i="8"/>
  <c r="BM33" i="8"/>
  <c r="BN33" i="8"/>
  <c r="BK33" i="8"/>
  <c r="BL33" i="8"/>
  <c r="BJ33" i="8"/>
  <c r="AC33" i="10"/>
  <c r="X33" i="10" s="1"/>
  <c r="AM33" i="5"/>
  <c r="AN33" i="5"/>
  <c r="AR33" i="5"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V35" i="5" l="1"/>
  <c r="AW35" i="5"/>
  <c r="AF33" i="7"/>
  <c r="AG33" i="7"/>
  <c r="AI33" i="7" s="1"/>
  <c r="CL35" i="8"/>
  <c r="AI57" i="9"/>
  <c r="AO57" i="8" s="1"/>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AO34" i="5"/>
  <c r="BP38" i="5" a="1"/>
  <c r="BP38" i="5" s="1"/>
  <c r="J38" i="2" s="1"/>
  <c r="DH35" i="8"/>
  <c r="DI35" i="8" s="1"/>
  <c r="O43" i="1"/>
  <c r="BX34" i="8"/>
  <c r="CD34" i="8" s="1"/>
  <c r="BT34" i="8"/>
  <c r="BO34" i="8"/>
  <c r="BP34" i="8"/>
  <c r="BM34" i="8"/>
  <c r="BN34" i="8"/>
  <c r="BK34" i="8"/>
  <c r="BL34" i="8"/>
  <c r="BJ34" i="8"/>
  <c r="AC34" i="10"/>
  <c r="X34" i="10" s="1"/>
  <c r="AM34" i="5"/>
  <c r="AN34" i="5"/>
  <c r="AR34" i="5"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V36" i="5" l="1"/>
  <c r="AW36" i="5"/>
  <c r="AF35" i="7"/>
  <c r="AG35" i="7"/>
  <c r="AF34" i="7"/>
  <c r="AG34" i="7"/>
  <c r="AI34" i="7" s="1"/>
  <c r="CL36" i="8"/>
  <c r="CB35" i="8"/>
  <c r="CT35" i="8" s="1"/>
  <c r="AC35" i="1"/>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AO35" i="5"/>
  <c r="BP39" i="5" a="1"/>
  <c r="BP39" i="5" s="1"/>
  <c r="J39" i="2" s="1"/>
  <c r="O44" i="1"/>
  <c r="CE34" i="8"/>
  <c r="CX34" i="8" s="1"/>
  <c r="CY34" i="8" s="1"/>
  <c r="BT35" i="8"/>
  <c r="BO35" i="8"/>
  <c r="BP35" i="8"/>
  <c r="BM35" i="8"/>
  <c r="BN35" i="8"/>
  <c r="BK35" i="8"/>
  <c r="BL35" i="8"/>
  <c r="BJ35" i="8"/>
  <c r="AC35" i="10"/>
  <c r="X35" i="10" s="1"/>
  <c r="AM35" i="5"/>
  <c r="AN35" i="5"/>
  <c r="AR35" i="5"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V37" i="5" l="1"/>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AO36" i="5"/>
  <c r="BP40" i="5" a="1"/>
  <c r="BP40" i="5" s="1"/>
  <c r="J40" i="2" s="1"/>
  <c r="A37" i="11"/>
  <c r="AD36" i="11" s="1"/>
  <c r="AI36" i="1" s="1"/>
  <c r="O45" i="1"/>
  <c r="BX36" i="8"/>
  <c r="CD36" i="8" s="1"/>
  <c r="BT36" i="8"/>
  <c r="BO36" i="8"/>
  <c r="BP36" i="8"/>
  <c r="BM36" i="8"/>
  <c r="BN36" i="8"/>
  <c r="AN36" i="5"/>
  <c r="AR36" i="5" s="1"/>
  <c r="BK36" i="8"/>
  <c r="BL36" i="8"/>
  <c r="BJ36" i="8"/>
  <c r="AC36" i="10"/>
  <c r="X36" i="10" s="1"/>
  <c r="AM36" i="5"/>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AV38" i="5" l="1"/>
  <c r="AW38" i="5"/>
  <c r="AF37" i="7"/>
  <c r="AG37" i="7"/>
  <c r="AF36"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AO37" i="5"/>
  <c r="BP41" i="5" a="1"/>
  <c r="BP41" i="5" s="1"/>
  <c r="J41" i="2" s="1"/>
  <c r="O46" i="1"/>
  <c r="CE36" i="8"/>
  <c r="CX36" i="8" s="1"/>
  <c r="CY36" i="8" s="1"/>
  <c r="BT37" i="8"/>
  <c r="BO37" i="8"/>
  <c r="BP37" i="8"/>
  <c r="BM37" i="8"/>
  <c r="BN37" i="8"/>
  <c r="BK37" i="8"/>
  <c r="BL37" i="8"/>
  <c r="BJ37" i="8"/>
  <c r="AN37" i="5"/>
  <c r="AR37" i="5" s="1"/>
  <c r="AC37" i="10"/>
  <c r="X37" i="10" s="1"/>
  <c r="AM37" i="5"/>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I37" i="7" l="1"/>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AO38" i="5"/>
  <c r="BP42" i="5" a="1"/>
  <c r="BP42" i="5" s="1"/>
  <c r="J42" i="2" s="1"/>
  <c r="BH39" i="8"/>
  <c r="BU39" i="8" s="1"/>
  <c r="O47" i="1"/>
  <c r="BT38" i="8"/>
  <c r="BU38" i="8"/>
  <c r="BO38" i="8"/>
  <c r="BP38" i="8"/>
  <c r="BM38" i="8"/>
  <c r="BN38" i="8"/>
  <c r="BK38" i="8"/>
  <c r="BL38" i="8"/>
  <c r="BJ38" i="8"/>
  <c r="AC38" i="10"/>
  <c r="X38" i="10" s="1"/>
  <c r="AN38" i="5"/>
  <c r="AR38" i="5" s="1"/>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AG50" i="9"/>
  <c r="AK50" i="9"/>
  <c r="AE112" i="9"/>
  <c r="N26" i="1"/>
  <c r="S43" i="2"/>
  <c r="N44" i="2"/>
  <c r="R44" i="2"/>
  <c r="Q43" i="2"/>
  <c r="J45" i="10"/>
  <c r="N45" i="5" s="1"/>
  <c r="P45" i="2"/>
  <c r="AV40" i="5" l="1"/>
  <c r="AW40" i="5"/>
  <c r="AF38" i="7"/>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AO39" i="5"/>
  <c r="BP43" i="5" a="1"/>
  <c r="BP43" i="5" s="1"/>
  <c r="J43" i="2" s="1"/>
  <c r="D40" i="9"/>
  <c r="BT39" i="8"/>
  <c r="BX39" i="8"/>
  <c r="CD39" i="8" s="1"/>
  <c r="BI40" i="8"/>
  <c r="O48" i="1"/>
  <c r="AN39" i="5"/>
  <c r="AR39" i="5" s="1"/>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V41" i="5" l="1"/>
  <c r="AW41" i="5"/>
  <c r="DB39" i="8"/>
  <c r="AF39" i="7"/>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AO40" i="5"/>
  <c r="BP44" i="5" a="1"/>
  <c r="BP44" i="5" s="1"/>
  <c r="J44" i="2" s="1"/>
  <c r="CE39" i="8"/>
  <c r="CX39" i="8" s="1"/>
  <c r="CY39" i="8" s="1"/>
  <c r="O49" i="1"/>
  <c r="BT40" i="8"/>
  <c r="BO40" i="8"/>
  <c r="BP40" i="8"/>
  <c r="BM40" i="8"/>
  <c r="BN40" i="8"/>
  <c r="BK40" i="8"/>
  <c r="BL40" i="8"/>
  <c r="BJ40" i="8"/>
  <c r="AC40" i="10"/>
  <c r="X40" i="10" s="1"/>
  <c r="AM40" i="5"/>
  <c r="AN40" i="5"/>
  <c r="AR40" i="5"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V42" i="5" l="1"/>
  <c r="AW42" i="5"/>
  <c r="AF40" i="7"/>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AO41" i="5"/>
  <c r="BP45" i="5" a="1"/>
  <c r="BP45" i="5" s="1"/>
  <c r="J45" i="2" s="1"/>
  <c r="O50" i="1"/>
  <c r="BT41" i="8"/>
  <c r="BO41" i="8"/>
  <c r="BP41" i="8"/>
  <c r="BM41" i="8"/>
  <c r="BN41" i="8"/>
  <c r="BK41" i="8"/>
  <c r="BL41" i="8"/>
  <c r="BJ41" i="8"/>
  <c r="AC41" i="10"/>
  <c r="X41" i="10" s="1"/>
  <c r="AM41" i="5"/>
  <c r="AN41" i="5"/>
  <c r="AR41" i="5"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V43" i="5" l="1"/>
  <c r="AW43" i="5"/>
  <c r="AF41" i="7"/>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AO42" i="5"/>
  <c r="BP46" i="5" a="1"/>
  <c r="BP46" i="5" s="1"/>
  <c r="J46" i="2" s="1"/>
  <c r="O51" i="1"/>
  <c r="BT42" i="8"/>
  <c r="BO42" i="8"/>
  <c r="BP42" i="8"/>
  <c r="BM42" i="8"/>
  <c r="BN42" i="8"/>
  <c r="BK42" i="8"/>
  <c r="BL42" i="8"/>
  <c r="BJ42" i="8"/>
  <c r="AC42" i="10"/>
  <c r="X42" i="10" s="1"/>
  <c r="AM42" i="5"/>
  <c r="AN42" i="5"/>
  <c r="AR42" i="5"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V44" i="5" l="1"/>
  <c r="AW44" i="5"/>
  <c r="AF42" i="7"/>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AO43" i="5"/>
  <c r="BP47" i="5" a="1"/>
  <c r="BP47" i="5" s="1"/>
  <c r="J47" i="2" s="1"/>
  <c r="X44" i="8"/>
  <c r="DD44" i="8" s="1"/>
  <c r="O52" i="1"/>
  <c r="BT43" i="8"/>
  <c r="BO43" i="8"/>
  <c r="BP43" i="8"/>
  <c r="BM43" i="8"/>
  <c r="BN43" i="8"/>
  <c r="BK43" i="8"/>
  <c r="BL43" i="8"/>
  <c r="BJ43" i="8"/>
  <c r="AC43" i="10"/>
  <c r="X43" i="10" s="1"/>
  <c r="AN43" i="5"/>
  <c r="AR43" i="5" s="1"/>
  <c r="AM43" i="5"/>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V45" i="5" l="1"/>
  <c r="AW45" i="5"/>
  <c r="AF43" i="7"/>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40" i="4" s="1"/>
  <c r="AO44" i="5"/>
  <c r="BP48" i="5" a="1"/>
  <c r="BP48" i="5" s="1"/>
  <c r="J48" i="2" s="1"/>
  <c r="O53" i="1"/>
  <c r="BT44" i="8"/>
  <c r="BO44" i="8"/>
  <c r="BP44" i="8"/>
  <c r="BM44" i="8"/>
  <c r="BN44" i="8"/>
  <c r="BK44" i="8"/>
  <c r="BL44" i="8"/>
  <c r="BJ44" i="8"/>
  <c r="AC44" i="10"/>
  <c r="X44" i="10" s="1"/>
  <c r="AN44" i="5"/>
  <c r="AR44" i="5" s="1"/>
  <c r="AM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V46" i="5" l="1"/>
  <c r="AW46" i="5"/>
  <c r="AF44" i="7"/>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AO45" i="5"/>
  <c r="BP49" i="5" a="1"/>
  <c r="BP49" i="5" s="1"/>
  <c r="J49" i="2" s="1"/>
  <c r="O54" i="1"/>
  <c r="BT45" i="8"/>
  <c r="BU45" i="8"/>
  <c r="BO45" i="8"/>
  <c r="BP45" i="8"/>
  <c r="BM45" i="8"/>
  <c r="BN45" i="8"/>
  <c r="BK45" i="8"/>
  <c r="BL45" i="8"/>
  <c r="BJ45" i="8"/>
  <c r="AN45" i="5"/>
  <c r="AR45" i="5" s="1"/>
  <c r="AC45" i="10"/>
  <c r="X45" i="10" s="1"/>
  <c r="AM45" i="5"/>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V47" i="5" l="1"/>
  <c r="AW47" i="5"/>
  <c r="AF45" i="7"/>
  <c r="AG45" i="7"/>
  <c r="CL47" i="8"/>
  <c r="AI69" i="9"/>
  <c r="AO69" i="8" s="1"/>
  <c r="G52" i="8"/>
  <c r="B41" i="4" s="1"/>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AO46" i="5"/>
  <c r="BP50" i="5" a="1"/>
  <c r="BP50" i="5" s="1"/>
  <c r="J50" i="2" s="1"/>
  <c r="O55" i="1"/>
  <c r="BT46" i="8"/>
  <c r="BO46" i="8"/>
  <c r="BP46" i="8"/>
  <c r="BM46" i="8"/>
  <c r="BN46" i="8"/>
  <c r="BK46" i="8"/>
  <c r="BL46" i="8"/>
  <c r="BJ46" i="8"/>
  <c r="AN46" i="5"/>
  <c r="AR46" i="5" s="1"/>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V48" i="5" l="1"/>
  <c r="AW48" i="5"/>
  <c r="AF46" i="7"/>
  <c r="AG46" i="7"/>
  <c r="CL48" i="8"/>
  <c r="CH47" i="8"/>
  <c r="CZ47" i="8" s="1"/>
  <c r="AC47" i="1"/>
  <c r="AI70" i="9"/>
  <c r="AO70" i="8" s="1"/>
  <c r="G53" i="8"/>
  <c r="CF52" i="8"/>
  <c r="O52" i="2"/>
  <c r="AT51" i="5"/>
  <c r="BI52" i="5" a="1"/>
  <c r="BI52" i="5" s="1"/>
  <c r="E62" i="4" s="1"/>
  <c r="BF52" i="5" a="1"/>
  <c r="BF52" i="5" s="1"/>
  <c r="AM59" i="9"/>
  <c r="BR47" i="8"/>
  <c r="BS47" i="8"/>
  <c r="AD50" i="1"/>
  <c r="BG52" i="5" a="1"/>
  <c r="BG52" i="5" s="1"/>
  <c r="E59" i="4" s="1"/>
  <c r="BK52" i="5" a="1"/>
  <c r="BK52" i="5" s="1"/>
  <c r="E63" i="4" s="1"/>
  <c r="BC52" i="5" a="1"/>
  <c r="BC52" i="5" s="1"/>
  <c r="E55" i="4" s="1"/>
  <c r="BE52" i="5" a="1"/>
  <c r="BE52" i="5" s="1"/>
  <c r="E57" i="4" s="1"/>
  <c r="BH52" i="5" a="1"/>
  <c r="BH52" i="5" s="1"/>
  <c r="E61" i="4" s="1"/>
  <c r="CS52" i="5"/>
  <c r="CT52" i="5"/>
  <c r="CR52" i="5"/>
  <c r="CW52" i="5"/>
  <c r="CV52" i="5"/>
  <c r="CQ52" i="5"/>
  <c r="CU52" i="5"/>
  <c r="AY52" i="5" a="1"/>
  <c r="AY52" i="5" s="1"/>
  <c r="E51" i="4" s="1"/>
  <c r="BL52" i="5" a="1"/>
  <c r="BL52" i="5" s="1"/>
  <c r="E64" i="4" s="1"/>
  <c r="AZ52" i="5" a="1"/>
  <c r="AZ52" i="5" s="1"/>
  <c r="E52" i="4" s="1"/>
  <c r="BM52" i="5" a="1"/>
  <c r="BM52" i="5" s="1"/>
  <c r="E65" i="4" s="1"/>
  <c r="BJ52" i="5" a="1"/>
  <c r="BJ52" i="5" s="1"/>
  <c r="E60" i="4" s="1"/>
  <c r="BA52" i="5" a="1"/>
  <c r="BA52" i="5" s="1"/>
  <c r="E53" i="4" s="1"/>
  <c r="BQ52" i="5" a="1"/>
  <c r="BQ52" i="5" s="1"/>
  <c r="E69" i="4" s="1"/>
  <c r="BO52" i="5" a="1"/>
  <c r="BO52" i="5" s="1"/>
  <c r="E67" i="4" s="1"/>
  <c r="BB52" i="5" a="1"/>
  <c r="BB52" i="5" s="1"/>
  <c r="E54" i="4" s="1"/>
  <c r="BN52" i="5" a="1"/>
  <c r="BN52" i="5" s="1"/>
  <c r="E66" i="4" s="1"/>
  <c r="BD52" i="5" a="1"/>
  <c r="BD52" i="5" s="1"/>
  <c r="E56" i="4" s="1"/>
  <c r="V50" i="2"/>
  <c r="F55" i="8"/>
  <c r="AO47" i="5"/>
  <c r="BP51" i="5" a="1"/>
  <c r="BP51" i="5" s="1"/>
  <c r="J51" i="2" s="1"/>
  <c r="O56" i="1"/>
  <c r="BX47" i="8"/>
  <c r="CD47" i="8" s="1"/>
  <c r="BT47" i="8"/>
  <c r="BO47" i="8"/>
  <c r="BP47" i="8"/>
  <c r="BM47" i="8"/>
  <c r="BN47" i="8"/>
  <c r="BK47" i="8"/>
  <c r="BL47" i="8"/>
  <c r="BJ47" i="8"/>
  <c r="AN47" i="5"/>
  <c r="AR47" i="5" s="1"/>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V49" i="5" l="1"/>
  <c r="AW49" i="5"/>
  <c r="AF47" i="7"/>
  <c r="AG47" i="7"/>
  <c r="AE51" i="1"/>
  <c r="E58" i="4"/>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AO48" i="5"/>
  <c r="BP52" i="5" a="1"/>
  <c r="BP52" i="5" s="1"/>
  <c r="O57" i="1"/>
  <c r="CE47" i="8"/>
  <c r="CX47" i="8" s="1"/>
  <c r="CY47" i="8" s="1"/>
  <c r="BT48" i="8"/>
  <c r="BO48" i="8"/>
  <c r="BP48" i="8"/>
  <c r="BM48" i="8"/>
  <c r="BN48" i="8"/>
  <c r="BK48" i="8"/>
  <c r="BL48" i="8"/>
  <c r="BJ48" i="8"/>
  <c r="AC48" i="10"/>
  <c r="X48" i="10" s="1"/>
  <c r="AM48" i="5"/>
  <c r="AN48" i="5"/>
  <c r="AR48" i="5" s="1"/>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V50" i="5" l="1"/>
  <c r="AW50" i="5"/>
  <c r="AF48" i="7"/>
  <c r="AG48" i="7"/>
  <c r="J52" i="2"/>
  <c r="E68" i="4"/>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BP53" i="5" a="1"/>
  <c r="BP53" i="5" s="1"/>
  <c r="J53" i="2" s="1"/>
  <c r="A50" i="11"/>
  <c r="AD49" i="11" s="1"/>
  <c r="AI49" i="1" s="1"/>
  <c r="O58" i="1"/>
  <c r="AN49" i="5"/>
  <c r="AR49" i="5" s="1"/>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AG61" i="9"/>
  <c r="AK61" i="9"/>
  <c r="AE123" i="9"/>
  <c r="N37" i="1"/>
  <c r="S54" i="2"/>
  <c r="N55" i="2"/>
  <c r="R55" i="2"/>
  <c r="Q54" i="2"/>
  <c r="J56" i="10"/>
  <c r="N56" i="5" s="1"/>
  <c r="P56" i="2"/>
  <c r="AV51" i="5" l="1"/>
  <c r="AW51" i="5"/>
  <c r="AF50" i="7"/>
  <c r="AG50" i="7"/>
  <c r="AF49"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AO50" i="5"/>
  <c r="BP54" i="5" a="1"/>
  <c r="BP54" i="5" s="1"/>
  <c r="J54" i="2" s="1"/>
  <c r="O59" i="1"/>
  <c r="BT50" i="8"/>
  <c r="BO50" i="8"/>
  <c r="BP50" i="8"/>
  <c r="BM50" i="8"/>
  <c r="BN50" i="8"/>
  <c r="BK50" i="8"/>
  <c r="BL50" i="8"/>
  <c r="BJ50" i="8"/>
  <c r="AC50" i="10"/>
  <c r="X50" i="10" s="1"/>
  <c r="AM50" i="5"/>
  <c r="AN50" i="5"/>
  <c r="AR50" i="5"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E70" i="4" s="1"/>
  <c r="AB53" i="1"/>
  <c r="DI53" i="5"/>
  <c r="AG62" i="9"/>
  <c r="AK62" i="9"/>
  <c r="AE124" i="9"/>
  <c r="N38" i="1"/>
  <c r="S55" i="2"/>
  <c r="N56" i="2"/>
  <c r="R56" i="2"/>
  <c r="Q55" i="2"/>
  <c r="P57" i="2"/>
  <c r="J57" i="10"/>
  <c r="N57" i="5" s="1"/>
  <c r="AV52" i="5" l="1"/>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AO51" i="5"/>
  <c r="BP55" i="5" a="1"/>
  <c r="BP55" i="5" s="1"/>
  <c r="J55" i="2" s="1"/>
  <c r="O60" i="1"/>
  <c r="BT51" i="8"/>
  <c r="BO51" i="8"/>
  <c r="BP51" i="8"/>
  <c r="BM51" i="8"/>
  <c r="BN51" i="8"/>
  <c r="BK51" i="8"/>
  <c r="BL51" i="8"/>
  <c r="BJ51" i="8"/>
  <c r="AC51" i="10"/>
  <c r="X51" i="10" s="1"/>
  <c r="AM51" i="5"/>
  <c r="AN51" i="5"/>
  <c r="AR51" i="5"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E50" i="4" s="1"/>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V53" i="5" l="1"/>
  <c r="AW53" i="5"/>
  <c r="AF51" i="7"/>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AO52" i="5"/>
  <c r="BP56" i="5" a="1"/>
  <c r="BP56" i="5" s="1"/>
  <c r="J56" i="2" s="1"/>
  <c r="O61" i="1"/>
  <c r="AN52" i="5"/>
  <c r="AR52" i="5" s="1"/>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AV54" i="5" l="1"/>
  <c r="AW54" i="5"/>
  <c r="AF52" i="7"/>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AO53" i="5"/>
  <c r="BP57" i="5" a="1"/>
  <c r="BP57" i="5" s="1"/>
  <c r="J57" i="2" s="1"/>
  <c r="O62" i="1"/>
  <c r="CE52" i="8"/>
  <c r="CX52" i="8" s="1"/>
  <c r="CY52" i="8" s="1"/>
  <c r="BT53" i="8"/>
  <c r="BO53" i="8"/>
  <c r="BP53" i="8"/>
  <c r="BM53" i="8"/>
  <c r="BN53" i="8"/>
  <c r="BK53" i="8"/>
  <c r="BL53" i="8"/>
  <c r="BJ53" i="8"/>
  <c r="AC53" i="10"/>
  <c r="X53" i="10" s="1"/>
  <c r="AN53" i="5"/>
  <c r="AR53" i="5" s="1"/>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I64" i="4" s="1"/>
  <c r="AE53" i="7"/>
  <c r="Q53" i="7"/>
  <c r="CR52" i="8"/>
  <c r="CZ56" i="5"/>
  <c r="AC52" i="11"/>
  <c r="U52" i="8" s="1"/>
  <c r="G39" i="4" s="1"/>
  <c r="N53" i="11"/>
  <c r="Z52" i="11"/>
  <c r="AA52" i="11"/>
  <c r="AK52" i="1" s="1"/>
  <c r="Y52" i="11"/>
  <c r="AH52" i="1" s="1"/>
  <c r="AB52" i="11"/>
  <c r="Q52" i="8" s="1"/>
  <c r="D39" i="4"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V55" i="5" l="1"/>
  <c r="AW55" i="5"/>
  <c r="AF53" i="7"/>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AO54" i="5"/>
  <c r="BP58" i="5" a="1"/>
  <c r="BP58" i="5" s="1"/>
  <c r="J58" i="2" s="1"/>
  <c r="A55" i="10"/>
  <c r="AA55" i="10" s="1"/>
  <c r="O63" i="1"/>
  <c r="BX54" i="8"/>
  <c r="CD54" i="8" s="1"/>
  <c r="BT54" i="8"/>
  <c r="BO54" i="8"/>
  <c r="BP54" i="8"/>
  <c r="BM54" i="8"/>
  <c r="BN54" i="8"/>
  <c r="BK54" i="8"/>
  <c r="BL54" i="8"/>
  <c r="BJ54" i="8"/>
  <c r="AC54" i="10"/>
  <c r="X54" i="10" s="1"/>
  <c r="AN54" i="5"/>
  <c r="AR54" i="5" s="1"/>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Q54" i="7"/>
  <c r="DA56" i="5"/>
  <c r="DG56" i="5" s="1" a="1"/>
  <c r="DG56" i="5" s="1"/>
  <c r="AB57" i="1"/>
  <c r="DI57" i="5"/>
  <c r="AG66" i="9"/>
  <c r="AK66" i="9"/>
  <c r="AE128" i="9"/>
  <c r="N42" i="1"/>
  <c r="S59" i="2"/>
  <c r="N60" i="2"/>
  <c r="R60" i="2"/>
  <c r="Q59" i="2"/>
  <c r="J61" i="10"/>
  <c r="N61" i="5" s="1"/>
  <c r="P61" i="2"/>
  <c r="AV56" i="5" l="1"/>
  <c r="AW56" i="5"/>
  <c r="AF54" i="7"/>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AO55" i="5"/>
  <c r="BP59" i="5" a="1"/>
  <c r="BP59" i="5" s="1"/>
  <c r="J59" i="2" s="1"/>
  <c r="O64" i="1"/>
  <c r="CE54" i="8"/>
  <c r="CX54" i="8" s="1"/>
  <c r="CY54" i="8" s="1"/>
  <c r="BT55" i="8"/>
  <c r="BO55" i="8"/>
  <c r="BP55" i="8"/>
  <c r="BM55" i="8"/>
  <c r="BN55" i="8"/>
  <c r="BK55" i="8"/>
  <c r="BL55" i="8"/>
  <c r="BJ55" i="8"/>
  <c r="AC55" i="10"/>
  <c r="X55" i="10" s="1"/>
  <c r="AM55" i="5"/>
  <c r="AN55" i="5"/>
  <c r="AR55" i="5" s="1"/>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V57" i="5" l="1"/>
  <c r="AW57" i="5"/>
  <c r="AF55" i="7"/>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BP60" i="5" a="1"/>
  <c r="BP60" i="5" s="1"/>
  <c r="J60" i="2" s="1"/>
  <c r="O65" i="1"/>
  <c r="BT56" i="8"/>
  <c r="BO56" i="8"/>
  <c r="BP56" i="8"/>
  <c r="BM56" i="8"/>
  <c r="BN56" i="8"/>
  <c r="BK56" i="8"/>
  <c r="BL56" i="8"/>
  <c r="BJ56" i="8"/>
  <c r="AC56" i="10"/>
  <c r="X56" i="10" s="1"/>
  <c r="AN56" i="5"/>
  <c r="AR56" i="5" s="1"/>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V58" i="5" l="1"/>
  <c r="AW58" i="5"/>
  <c r="AF56" i="7"/>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AO57" i="5"/>
  <c r="BP61" i="5" a="1"/>
  <c r="BP61" i="5" s="1"/>
  <c r="J61" i="2" s="1"/>
  <c r="O66" i="1"/>
  <c r="BX57" i="8"/>
  <c r="CE57" i="8" s="1"/>
  <c r="BT57" i="8"/>
  <c r="BO57" i="8"/>
  <c r="BP57" i="8"/>
  <c r="BM57" i="8"/>
  <c r="BN57" i="8"/>
  <c r="AN57" i="5"/>
  <c r="AR57" i="5" s="1"/>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V59" i="5" l="1"/>
  <c r="AW59" i="5"/>
  <c r="AF57" i="7"/>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BP62" i="5" a="1"/>
  <c r="BP62" i="5" s="1"/>
  <c r="J62" i="2" s="1"/>
  <c r="O67" i="1"/>
  <c r="CD57" i="8"/>
  <c r="BX58" i="8"/>
  <c r="CD58" i="8" s="1"/>
  <c r="BT58" i="8"/>
  <c r="BO58" i="8"/>
  <c r="BP58" i="8"/>
  <c r="BM58" i="8"/>
  <c r="BN58" i="8"/>
  <c r="BK58" i="8"/>
  <c r="BL58" i="8"/>
  <c r="BJ58" i="8"/>
  <c r="AC58" i="10"/>
  <c r="X58" i="10" s="1"/>
  <c r="AM58" i="5"/>
  <c r="AN58" i="5"/>
  <c r="AR58" i="5"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V60" i="5" l="1"/>
  <c r="AW60" i="5"/>
  <c r="AF58" i="7"/>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AO59" i="5"/>
  <c r="BP63" i="5" a="1"/>
  <c r="BP63" i="5" s="1"/>
  <c r="J63" i="2" s="1"/>
  <c r="O68" i="1"/>
  <c r="CE58" i="8"/>
  <c r="CX58" i="8" s="1"/>
  <c r="CY58" i="8" s="1"/>
  <c r="BX59" i="8"/>
  <c r="CD59" i="8" s="1"/>
  <c r="BT59" i="8"/>
  <c r="BO59" i="8"/>
  <c r="BP59" i="8"/>
  <c r="BM59" i="8"/>
  <c r="BN59" i="8"/>
  <c r="BK59" i="8"/>
  <c r="BL59" i="8"/>
  <c r="BJ59" i="8"/>
  <c r="AC59" i="10"/>
  <c r="X59" i="10" s="1"/>
  <c r="AM59" i="5"/>
  <c r="AN59" i="5"/>
  <c r="AR59" i="5"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V61" i="5" l="1"/>
  <c r="AW61" i="5"/>
  <c r="AF59" i="7"/>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AO60" i="5"/>
  <c r="BP64" i="5" a="1"/>
  <c r="BP64" i="5" s="1"/>
  <c r="J64" i="2" s="1"/>
  <c r="O69" i="1"/>
  <c r="CE59" i="8"/>
  <c r="CX59" i="8" s="1"/>
  <c r="CY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V62" i="5" l="1"/>
  <c r="AW62" i="5"/>
  <c r="AF60" i="7"/>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AO61" i="5"/>
  <c r="BP65" i="5" a="1"/>
  <c r="BP65" i="5" s="1"/>
  <c r="J65" i="2"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V63" i="5" l="1"/>
  <c r="AW63" i="5"/>
  <c r="AF61" i="7"/>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BP66" i="5" a="1"/>
  <c r="BP66" i="5" s="1"/>
  <c r="J66" i="2" s="1"/>
  <c r="O71" i="1"/>
  <c r="CD61" i="8"/>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Q62" i="7"/>
  <c r="C65" i="5"/>
  <c r="DA64" i="5"/>
  <c r="DG64" i="5" s="1" a="1"/>
  <c r="DG64" i="5" s="1"/>
  <c r="AB65" i="1"/>
  <c r="DI65" i="5"/>
  <c r="AG74" i="9"/>
  <c r="AK74" i="9"/>
  <c r="AE136" i="9"/>
  <c r="N50" i="1"/>
  <c r="S67" i="2"/>
  <c r="N68" i="2"/>
  <c r="R68" i="2"/>
  <c r="Q67" i="2"/>
  <c r="J69" i="10"/>
  <c r="N69" i="5" s="1"/>
  <c r="P69" i="2"/>
  <c r="AV64" i="5" l="1"/>
  <c r="AW64" i="5"/>
  <c r="AF62" i="7"/>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AO63" i="5"/>
  <c r="BP67" i="5" a="1"/>
  <c r="BP67" i="5" s="1"/>
  <c r="J67" i="2" s="1"/>
  <c r="O72" i="1"/>
  <c r="CE62" i="8"/>
  <c r="CX62" i="8" s="1"/>
  <c r="CY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V65" i="5" l="1"/>
  <c r="AW65" i="5"/>
  <c r="AF63" i="7"/>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AO64" i="5"/>
  <c r="BP68" i="5" a="1"/>
  <c r="BP68" i="5" s="1"/>
  <c r="J68" i="2"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V66" i="5" l="1"/>
  <c r="AW66" i="5"/>
  <c r="AF64" i="7"/>
  <c r="AG64" i="7"/>
  <c r="AI64" i="7" s="1"/>
  <c r="B69" i="4"/>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AO65" i="5"/>
  <c r="BP69" i="5" a="1"/>
  <c r="BP69" i="5" s="1"/>
  <c r="J69" i="2" s="1"/>
  <c r="O74" i="1"/>
  <c r="BT65" i="8"/>
  <c r="BO65" i="8"/>
  <c r="BP65" i="8"/>
  <c r="BM65" i="8"/>
  <c r="BN65" i="8"/>
  <c r="BK65" i="8"/>
  <c r="BL65" i="8"/>
  <c r="BJ65" i="8"/>
  <c r="AM65" i="5"/>
  <c r="AN65" i="5"/>
  <c r="AR65" i="5" s="1"/>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V67" i="5" l="1"/>
  <c r="AW67" i="5"/>
  <c r="AF66" i="7"/>
  <c r="AG66" i="7"/>
  <c r="AF65"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AO66" i="5"/>
  <c r="BP70" i="5" a="1"/>
  <c r="BP70" i="5" s="1"/>
  <c r="J70" i="2" s="1"/>
  <c r="O75" i="1"/>
  <c r="BX66" i="8"/>
  <c r="CE66" i="8" s="1"/>
  <c r="BT66" i="8"/>
  <c r="BO66" i="8"/>
  <c r="BP66" i="8"/>
  <c r="BM66" i="8"/>
  <c r="BN66" i="8"/>
  <c r="BK66" i="8"/>
  <c r="BL66" i="8"/>
  <c r="BJ66" i="8"/>
  <c r="AC66" i="10"/>
  <c r="X66" i="10" s="1"/>
  <c r="AM66" i="5"/>
  <c r="AN66" i="5"/>
  <c r="AR66" i="5"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V68" i="5" l="1"/>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AO67" i="5"/>
  <c r="BP71" i="5" a="1"/>
  <c r="BP71" i="5" s="1"/>
  <c r="J71" i="2" s="1"/>
  <c r="O76" i="1"/>
  <c r="CD66" i="8"/>
  <c r="BT67" i="8"/>
  <c r="BU67" i="8"/>
  <c r="AH71" i="11"/>
  <c r="BO67" i="8"/>
  <c r="BP67" i="8"/>
  <c r="BM67" i="8"/>
  <c r="BN67" i="8"/>
  <c r="BK67" i="8"/>
  <c r="BL67" i="8"/>
  <c r="BJ67" i="8"/>
  <c r="AC67" i="10"/>
  <c r="X67" i="10" s="1"/>
  <c r="AM67" i="5"/>
  <c r="AN67" i="5"/>
  <c r="AR67" i="5"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V69" i="5" l="1"/>
  <c r="AW69" i="5"/>
  <c r="AF67" i="7"/>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AO68" i="5"/>
  <c r="BP72" i="5" a="1"/>
  <c r="BP72" i="5" s="1"/>
  <c r="J72" i="2"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V70" i="5" l="1"/>
  <c r="AW70" i="5"/>
  <c r="AF68" i="7"/>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AO69" i="5"/>
  <c r="BP73" i="5" a="1"/>
  <c r="BP73" i="5" s="1"/>
  <c r="J73" i="2" s="1"/>
  <c r="O78" i="1"/>
  <c r="AH73" i="11"/>
  <c r="CE68" i="8"/>
  <c r="CX68" i="8" s="1"/>
  <c r="CY68" i="8" s="1"/>
  <c r="BT69" i="8"/>
  <c r="BO69" i="8"/>
  <c r="BP69" i="8"/>
  <c r="BM69" i="8"/>
  <c r="BN69" i="8"/>
  <c r="BK69" i="8"/>
  <c r="BL69" i="8"/>
  <c r="BJ69" i="8"/>
  <c r="AC69" i="10"/>
  <c r="X69" i="10" s="1"/>
  <c r="AM69" i="5"/>
  <c r="AN69" i="5"/>
  <c r="AR69" i="5"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V71" i="5" l="1"/>
  <c r="AW71" i="5"/>
  <c r="AF70" i="7"/>
  <c r="AG70" i="7"/>
  <c r="AF69"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AO70" i="5"/>
  <c r="BP74" i="5" a="1"/>
  <c r="BP74" i="5" s="1"/>
  <c r="J74" i="2" s="1"/>
  <c r="O79" i="1"/>
  <c r="BT70" i="8"/>
  <c r="BO70" i="8"/>
  <c r="BP70" i="8"/>
  <c r="BM70" i="8"/>
  <c r="BN70" i="8"/>
  <c r="BK70" i="8"/>
  <c r="BL70" i="8"/>
  <c r="BJ70" i="8"/>
  <c r="AC70" i="10"/>
  <c r="X70" i="10" s="1"/>
  <c r="AM70" i="5"/>
  <c r="AN70" i="5"/>
  <c r="AR70" i="5" s="1"/>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V72" i="5" l="1"/>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AO71" i="5"/>
  <c r="BP75" i="5" a="1"/>
  <c r="BP75" i="5" s="1"/>
  <c r="J75" i="2" s="1"/>
  <c r="DH72" i="8"/>
  <c r="DI72" i="8" s="1"/>
  <c r="O80" i="1"/>
  <c r="BX71" i="8"/>
  <c r="CD71" i="8" s="1"/>
  <c r="BT71" i="8"/>
  <c r="BO71" i="8"/>
  <c r="BP71" i="8"/>
  <c r="BM71" i="8"/>
  <c r="BN71" i="8"/>
  <c r="BK71" i="8"/>
  <c r="BL71" i="8"/>
  <c r="BJ71" i="8"/>
  <c r="AC71" i="10"/>
  <c r="X71" i="10" s="1"/>
  <c r="AM71" i="5"/>
  <c r="AN71" i="5"/>
  <c r="AR71" i="5" s="1"/>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V73" i="5" l="1"/>
  <c r="AW73" i="5"/>
  <c r="AF72" i="7"/>
  <c r="AG72" i="7"/>
  <c r="AF71"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AO72" i="5"/>
  <c r="BP76" i="5" a="1"/>
  <c r="BP76" i="5" s="1"/>
  <c r="J76" i="2" s="1"/>
  <c r="O81" i="1"/>
  <c r="CE71" i="8"/>
  <c r="CX71" i="8" s="1"/>
  <c r="CY71" i="8" s="1"/>
  <c r="BX72" i="8"/>
  <c r="CD72" i="8" s="1"/>
  <c r="BT72" i="8"/>
  <c r="BO72" i="8"/>
  <c r="BP72" i="8"/>
  <c r="BM72" i="8"/>
  <c r="BN72" i="8"/>
  <c r="BK72" i="8"/>
  <c r="BL72" i="8"/>
  <c r="BJ72" i="8"/>
  <c r="AC72" i="10"/>
  <c r="X72" i="10" s="1"/>
  <c r="AM72" i="5"/>
  <c r="AN72" i="5"/>
  <c r="AR72" i="5"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V74" i="5" l="1"/>
  <c r="AW74" i="5"/>
  <c r="AI72" i="7"/>
  <c r="AF73"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AO73" i="5"/>
  <c r="BP77" i="5" a="1"/>
  <c r="BP77" i="5" s="1"/>
  <c r="J77" i="2" s="1"/>
  <c r="O82" i="1"/>
  <c r="CE72" i="8"/>
  <c r="CX72" i="8" s="1"/>
  <c r="CY72" i="8" s="1"/>
  <c r="BX73" i="8"/>
  <c r="CD73" i="8" s="1"/>
  <c r="BT73" i="8"/>
  <c r="BO73" i="8"/>
  <c r="BP73" i="8"/>
  <c r="BM73" i="8"/>
  <c r="BN73" i="8"/>
  <c r="BK73" i="8"/>
  <c r="BL73" i="8"/>
  <c r="BJ73" i="8"/>
  <c r="AC73" i="10"/>
  <c r="X73" i="10" s="1"/>
  <c r="AM73" i="5"/>
  <c r="AN73" i="5"/>
  <c r="AR73" i="5"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V75" i="5" l="1"/>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AO74" i="5"/>
  <c r="BP78" i="5" a="1"/>
  <c r="BP78" i="5" s="1"/>
  <c r="J78" i="2" s="1"/>
  <c r="O83" i="1"/>
  <c r="CE73" i="8"/>
  <c r="CX73" i="8" s="1"/>
  <c r="CY73" i="8" s="1"/>
  <c r="BX74" i="8"/>
  <c r="CD74" i="8" s="1"/>
  <c r="BT74" i="8"/>
  <c r="BO74" i="8"/>
  <c r="BP74" i="8"/>
  <c r="BM74" i="8"/>
  <c r="BN74" i="8"/>
  <c r="BK74" i="8"/>
  <c r="BL74" i="8"/>
  <c r="BJ74" i="8"/>
  <c r="AC74" i="10"/>
  <c r="X74" i="10" s="1"/>
  <c r="AN74" i="5"/>
  <c r="AR74" i="5" s="1"/>
  <c r="AM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V76" i="5" l="1"/>
  <c r="AW76" i="5"/>
  <c r="AF75" i="7"/>
  <c r="AG75" i="7"/>
  <c r="AF74"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AO75" i="5"/>
  <c r="BP79" i="5" a="1"/>
  <c r="BP79" i="5" s="1"/>
  <c r="J79" i="2" s="1"/>
  <c r="O84" i="1"/>
  <c r="CE74" i="8"/>
  <c r="CX74" i="8" s="1"/>
  <c r="CY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V77" i="5" l="1"/>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BP80" i="5" a="1"/>
  <c r="BP80" i="5" s="1"/>
  <c r="J80" i="2" s="1"/>
  <c r="BI77" i="8"/>
  <c r="O85" i="1"/>
  <c r="CE75" i="8"/>
  <c r="CX75" i="8" s="1"/>
  <c r="CY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V78" i="5" l="1"/>
  <c r="AW78" i="5"/>
  <c r="AF76" i="7"/>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BP81" i="5" a="1"/>
  <c r="BP81" i="5" s="1"/>
  <c r="J81" i="2" s="1"/>
  <c r="O86" i="1"/>
  <c r="BX77" i="8"/>
  <c r="CE77" i="8" s="1"/>
  <c r="BT77" i="8"/>
  <c r="BO77" i="8"/>
  <c r="BP77" i="8"/>
  <c r="BM77" i="8"/>
  <c r="BN77" i="8"/>
  <c r="BK77" i="8"/>
  <c r="BL77" i="8"/>
  <c r="AN77" i="5"/>
  <c r="AR77" i="5" s="1"/>
  <c r="BJ77" i="8"/>
  <c r="AC77" i="10"/>
  <c r="X77" i="10" s="1"/>
  <c r="AM77" i="5"/>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V79" i="5" l="1"/>
  <c r="AW79" i="5"/>
  <c r="AF77" i="7"/>
  <c r="AG77" i="7"/>
  <c r="AI77" i="7" s="1"/>
  <c r="AF78" i="7"/>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AO78" i="5"/>
  <c r="BP82" i="5" a="1"/>
  <c r="BP82" i="5" s="1"/>
  <c r="J82" i="2" s="1"/>
  <c r="O87" i="1"/>
  <c r="F42" i="4"/>
  <c r="F40" i="4"/>
  <c r="CD77" i="8"/>
  <c r="BX78" i="8"/>
  <c r="CE78" i="8" s="1"/>
  <c r="BT78" i="8"/>
  <c r="BO78" i="8"/>
  <c r="BP78" i="8"/>
  <c r="BM78" i="8"/>
  <c r="BN78" i="8"/>
  <c r="BK78" i="8"/>
  <c r="BL78" i="8"/>
  <c r="BJ78" i="8"/>
  <c r="AC78" i="10"/>
  <c r="X78" i="10" s="1"/>
  <c r="AM78" i="5"/>
  <c r="AN78" i="5"/>
  <c r="AR78" i="5"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V80" i="5" l="1"/>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AO79" i="5"/>
  <c r="BP83" i="5" a="1"/>
  <c r="BP83" i="5" s="1"/>
  <c r="J83" i="2" s="1"/>
  <c r="O88" i="1"/>
  <c r="CD78" i="8"/>
  <c r="AH83" i="11"/>
  <c r="BT79" i="8"/>
  <c r="BU79" i="8"/>
  <c r="BO79" i="8"/>
  <c r="BP79" i="8"/>
  <c r="BM79" i="8"/>
  <c r="BN79" i="8"/>
  <c r="BK79" i="8"/>
  <c r="BL79" i="8"/>
  <c r="BJ79" i="8"/>
  <c r="AC79" i="10"/>
  <c r="X79" i="10" s="1"/>
  <c r="AN79" i="5"/>
  <c r="AR79" i="5" s="1"/>
  <c r="AM79" i="5"/>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Q79" i="7"/>
  <c r="DI82" i="5"/>
  <c r="AB82" i="1"/>
  <c r="DA81" i="5"/>
  <c r="DG81" i="5" s="1" a="1"/>
  <c r="DG81" i="5" s="1"/>
  <c r="AG91" i="9"/>
  <c r="AK91" i="9"/>
  <c r="N67" i="1"/>
  <c r="S84" i="2"/>
  <c r="N85" i="2"/>
  <c r="R85" i="2"/>
  <c r="Q84" i="2"/>
  <c r="P86" i="2"/>
  <c r="J86" i="10"/>
  <c r="N86" i="5" s="1"/>
  <c r="AV81" i="5" l="1"/>
  <c r="AW81" i="5"/>
  <c r="AF79" i="7"/>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AO80" i="5"/>
  <c r="BP84" i="5" a="1"/>
  <c r="BP84" i="5" s="1"/>
  <c r="J84" i="2" s="1"/>
  <c r="O89" i="1"/>
  <c r="BX80" i="8"/>
  <c r="CD80" i="8" s="1"/>
  <c r="BT80" i="8"/>
  <c r="BO80" i="8"/>
  <c r="BP80" i="8"/>
  <c r="BM80" i="8"/>
  <c r="BN80" i="8"/>
  <c r="BK80" i="8"/>
  <c r="BL80" i="8"/>
  <c r="BJ80" i="8"/>
  <c r="AC80" i="10"/>
  <c r="X80" i="10" s="1"/>
  <c r="AN80" i="5"/>
  <c r="AR80" i="5" s="1"/>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V82" i="5" l="1"/>
  <c r="AW82" i="5"/>
  <c r="AF80" i="7"/>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BP85" i="5" a="1"/>
  <c r="BP85" i="5" s="1"/>
  <c r="J85" i="2" s="1"/>
  <c r="O90" i="1"/>
  <c r="CE80" i="8"/>
  <c r="CX80" i="8" s="1"/>
  <c r="CY80" i="8" s="1"/>
  <c r="BX81" i="8"/>
  <c r="CD81" i="8" s="1"/>
  <c r="BT81" i="8"/>
  <c r="BO81" i="8"/>
  <c r="BP81" i="8"/>
  <c r="BM81" i="8"/>
  <c r="BN81" i="8"/>
  <c r="BK81" i="8"/>
  <c r="BL81" i="8"/>
  <c r="BJ81" i="8"/>
  <c r="AN81" i="5"/>
  <c r="AR81" i="5" s="1"/>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V83" i="5" l="1"/>
  <c r="AW83" i="5"/>
  <c r="AF81" i="7"/>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BP86" i="5" a="1"/>
  <c r="BP86" i="5" s="1"/>
  <c r="J86" i="2" s="1"/>
  <c r="O91" i="1"/>
  <c r="CE81" i="8"/>
  <c r="CX81" i="8" s="1"/>
  <c r="CY81" i="8" s="1"/>
  <c r="BX82" i="8"/>
  <c r="CE82" i="8" s="1"/>
  <c r="BT82" i="8"/>
  <c r="BO82" i="8"/>
  <c r="BP82" i="8"/>
  <c r="BM82" i="8"/>
  <c r="BN82" i="8"/>
  <c r="BK82" i="8"/>
  <c r="BL82" i="8"/>
  <c r="BJ82" i="8"/>
  <c r="AC82" i="10"/>
  <c r="X82" i="10" s="1"/>
  <c r="AM82" i="5"/>
  <c r="AN82" i="5"/>
  <c r="AR82" i="5"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V84" i="5" l="1"/>
  <c r="AW84" i="5"/>
  <c r="AF82" i="7"/>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BP87" i="5" a="1"/>
  <c r="BP87" i="5" s="1"/>
  <c r="J87" i="2" s="1"/>
  <c r="O92" i="1"/>
  <c r="CD82" i="8"/>
  <c r="BX83" i="8"/>
  <c r="CE83" i="8" s="1"/>
  <c r="BT83" i="8"/>
  <c r="BO83" i="8"/>
  <c r="BP83" i="8"/>
  <c r="BM83" i="8"/>
  <c r="BN83" i="8"/>
  <c r="BK83" i="8"/>
  <c r="BL83" i="8"/>
  <c r="BJ83" i="8"/>
  <c r="AC83" i="10"/>
  <c r="X83" i="10" s="1"/>
  <c r="AM83" i="5"/>
  <c r="AN83" i="5"/>
  <c r="AR83" i="5"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V85" i="5" l="1"/>
  <c r="AW85" i="5"/>
  <c r="AF83" i="7"/>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AO84" i="5"/>
  <c r="BP88" i="5" a="1"/>
  <c r="BP88" i="5" s="1"/>
  <c r="J88" i="2" s="1"/>
  <c r="BT85" i="5"/>
  <c r="O93" i="1"/>
  <c r="CD83" i="8"/>
  <c r="BX84" i="8"/>
  <c r="CD84" i="8" s="1"/>
  <c r="BT84" i="8"/>
  <c r="BO84" i="8"/>
  <c r="BP84" i="8"/>
  <c r="BM84" i="8"/>
  <c r="BN84" i="8"/>
  <c r="BK84" i="8"/>
  <c r="BL84" i="8"/>
  <c r="BJ84" i="8"/>
  <c r="AC84" i="10"/>
  <c r="X84" i="10" s="1"/>
  <c r="AM84" i="5"/>
  <c r="AN84" i="5"/>
  <c r="AR84" i="5"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V86" i="5" l="1"/>
  <c r="AW86" i="5"/>
  <c r="AF85" i="7"/>
  <c r="AG85" i="7"/>
  <c r="AF84"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AO85" i="5"/>
  <c r="BP89" i="5" a="1"/>
  <c r="BP89" i="5" s="1"/>
  <c r="J89" i="2" s="1"/>
  <c r="O94" i="1"/>
  <c r="CE84" i="8"/>
  <c r="CX84" i="8" s="1"/>
  <c r="CY84" i="8" s="1"/>
  <c r="BX85" i="8"/>
  <c r="CE85" i="8" s="1"/>
  <c r="BT85" i="8"/>
  <c r="BO85" i="8"/>
  <c r="BP85" i="8"/>
  <c r="BM85" i="8"/>
  <c r="BN85" i="8"/>
  <c r="BK85" i="8"/>
  <c r="BL85" i="8"/>
  <c r="BJ85" i="8"/>
  <c r="AC85" i="10"/>
  <c r="X85" i="10" s="1"/>
  <c r="AN85" i="5"/>
  <c r="AR85" i="5" s="1"/>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AI85" i="7" s="1"/>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V87" i="5" l="1"/>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AO86" i="5"/>
  <c r="BP90" i="5" a="1"/>
  <c r="BP90" i="5" s="1"/>
  <c r="J90" i="2" s="1"/>
  <c r="AC87" i="8"/>
  <c r="BQ87" i="8" s="1"/>
  <c r="O95" i="1"/>
  <c r="CD85" i="8"/>
  <c r="BX86" i="8"/>
  <c r="CD86" i="8" s="1"/>
  <c r="BT86" i="8"/>
  <c r="BO86" i="8"/>
  <c r="BP86" i="8"/>
  <c r="BM86" i="8"/>
  <c r="BN86" i="8"/>
  <c r="BK86" i="8"/>
  <c r="BL86" i="8"/>
  <c r="BJ86" i="8"/>
  <c r="AC86" i="10"/>
  <c r="X86" i="10" s="1"/>
  <c r="AN86" i="5"/>
  <c r="AR86" i="5" s="1"/>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V88" i="5" l="1"/>
  <c r="AW88" i="5"/>
  <c r="AF86" i="7"/>
  <c r="AG86" i="7"/>
  <c r="AI86" i="7" s="1"/>
  <c r="AF87" i="7"/>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AO87" i="5"/>
  <c r="BM87" i="8"/>
  <c r="BL87" i="8"/>
  <c r="BK87" i="8"/>
  <c r="BP91" i="5" a="1"/>
  <c r="BP91" i="5" s="1"/>
  <c r="J91" i="2" s="1"/>
  <c r="BN87" i="8"/>
  <c r="O96" i="1"/>
  <c r="CE86" i="8"/>
  <c r="CX86" i="8" s="1"/>
  <c r="CY86" i="8" s="1"/>
  <c r="BX87" i="8"/>
  <c r="CD87" i="8" s="1"/>
  <c r="BT87" i="8"/>
  <c r="AC87" i="10"/>
  <c r="X87" i="10" s="1"/>
  <c r="AN87" i="5"/>
  <c r="AR87" i="5" s="1"/>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V89" i="5" l="1"/>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AO88" i="5"/>
  <c r="BP92" i="5" a="1"/>
  <c r="BP92" i="5" s="1"/>
  <c r="J92" i="2" s="1"/>
  <c r="O97" i="1"/>
  <c r="CE87" i="8"/>
  <c r="CX87" i="8" s="1"/>
  <c r="CY87" i="8" s="1"/>
  <c r="BT88" i="8"/>
  <c r="BO88" i="8"/>
  <c r="BP88" i="8"/>
  <c r="BM88" i="8"/>
  <c r="BN88" i="8"/>
  <c r="BK88" i="8"/>
  <c r="BL88" i="8"/>
  <c r="BJ88" i="8"/>
  <c r="AN88" i="5"/>
  <c r="AR88" i="5" s="1"/>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V90" i="5" l="1"/>
  <c r="AW90" i="5"/>
  <c r="AF88" i="7"/>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AO89" i="5"/>
  <c r="BP93" i="5" a="1"/>
  <c r="BP93" i="5" s="1"/>
  <c r="J93" i="2" s="1"/>
  <c r="O98" i="1"/>
  <c r="BX89" i="8"/>
  <c r="CE89" i="8" s="1"/>
  <c r="BT89" i="8"/>
  <c r="BO89" i="8"/>
  <c r="BP89" i="8"/>
  <c r="BM89" i="8"/>
  <c r="BN89" i="8"/>
  <c r="AN89" i="5"/>
  <c r="AR89" i="5" s="1"/>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V91" i="5" l="1"/>
  <c r="AW91" i="5"/>
  <c r="AF89" i="7"/>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BP94" i="5" a="1"/>
  <c r="BP94" i="5" s="1"/>
  <c r="J94" i="2" s="1"/>
  <c r="O99" i="1"/>
  <c r="CD89" i="8"/>
  <c r="BT90" i="8"/>
  <c r="BO90" i="8"/>
  <c r="BP90" i="8"/>
  <c r="BM90" i="8"/>
  <c r="BN90" i="8"/>
  <c r="BK90" i="8"/>
  <c r="BL90" i="8"/>
  <c r="BJ90" i="8"/>
  <c r="AC90" i="10"/>
  <c r="X90" i="10" s="1"/>
  <c r="AM90" i="5"/>
  <c r="AN90" i="5"/>
  <c r="AR90" i="5" s="1"/>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V92" i="5" l="1"/>
  <c r="AW92" i="5"/>
  <c r="AF90" i="7"/>
  <c r="AG90" i="7"/>
  <c r="AI90" i="7" s="1"/>
  <c r="AF91" i="7"/>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AO91" i="5"/>
  <c r="BP95" i="5" a="1"/>
  <c r="BP95" i="5" s="1"/>
  <c r="J95" i="2" s="1"/>
  <c r="O100" i="1"/>
  <c r="BX91" i="8"/>
  <c r="CD91" i="8" s="1"/>
  <c r="BT91" i="8"/>
  <c r="BO91" i="8"/>
  <c r="BP91" i="8"/>
  <c r="BM91" i="8"/>
  <c r="BN91" i="8"/>
  <c r="BK91" i="8"/>
  <c r="BL91" i="8"/>
  <c r="BJ91" i="8"/>
  <c r="AC91" i="10"/>
  <c r="X91" i="10" s="1"/>
  <c r="AM91" i="5"/>
  <c r="AN91" i="5"/>
  <c r="AR91" i="5" s="1"/>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V93" i="5" l="1"/>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AO92" i="5"/>
  <c r="BP96" i="5" a="1"/>
  <c r="BP96" i="5" s="1"/>
  <c r="J96" i="2" s="1"/>
  <c r="O101" i="1"/>
  <c r="CE91" i="8"/>
  <c r="CX91" i="8" s="1"/>
  <c r="CY91" i="8" s="1"/>
  <c r="BX92" i="8"/>
  <c r="CE92" i="8" s="1"/>
  <c r="BT92" i="8"/>
  <c r="BO92" i="8"/>
  <c r="BP92" i="8"/>
  <c r="BM92" i="8"/>
  <c r="BN92" i="8"/>
  <c r="BK92" i="8"/>
  <c r="BL92" i="8"/>
  <c r="BJ92" i="8"/>
  <c r="AC92" i="10"/>
  <c r="X92" i="10" s="1"/>
  <c r="AM92" i="5"/>
  <c r="AN92" i="5"/>
  <c r="AR92" i="5"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V94" i="5" l="1"/>
  <c r="AW94" i="5"/>
  <c r="AF93" i="7"/>
  <c r="AG93" i="7"/>
  <c r="AF92"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AO93" i="5"/>
  <c r="BP97" i="5" a="1"/>
  <c r="BP97" i="5" s="1"/>
  <c r="J97" i="2" s="1"/>
  <c r="B94" i="7"/>
  <c r="AE94" i="7" s="1"/>
  <c r="O102" i="1"/>
  <c r="CD92" i="8"/>
  <c r="BX93" i="8"/>
  <c r="CE93" i="8" s="1"/>
  <c r="BT93" i="8"/>
  <c r="BO93" i="8"/>
  <c r="BP93" i="8"/>
  <c r="BM93" i="8"/>
  <c r="BN93" i="8"/>
  <c r="BK93" i="8"/>
  <c r="BL93" i="8"/>
  <c r="BJ93" i="8"/>
  <c r="AC93" i="10"/>
  <c r="X93" i="10" s="1"/>
  <c r="AN93" i="5"/>
  <c r="AR93" i="5" s="1"/>
  <c r="AM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V95" i="5" l="1"/>
  <c r="AW95" i="5"/>
  <c r="AI93" i="7"/>
  <c r="AF94"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AO94" i="5"/>
  <c r="BP98" i="5" a="1"/>
  <c r="BP98" i="5" s="1"/>
  <c r="J98" i="2" s="1"/>
  <c r="O103" i="1"/>
  <c r="CD93" i="8"/>
  <c r="BX94" i="8"/>
  <c r="CE94" i="8" s="1"/>
  <c r="BT94" i="8"/>
  <c r="BO94" i="8"/>
  <c r="BP94" i="8"/>
  <c r="BM94" i="8"/>
  <c r="BN94" i="8"/>
  <c r="BK94" i="8"/>
  <c r="BL94" i="8"/>
  <c r="BJ94" i="8"/>
  <c r="AC94" i="10"/>
  <c r="X94" i="10" s="1"/>
  <c r="AN94" i="5"/>
  <c r="AR94" i="5" s="1"/>
  <c r="AM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V96" i="5" l="1"/>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AO95" i="5"/>
  <c r="BP99" i="5" a="1"/>
  <c r="BP99" i="5" s="1"/>
  <c r="J99" i="2" s="1"/>
  <c r="AJ96" i="5"/>
  <c r="AP96" i="5" s="1"/>
  <c r="O104" i="1"/>
  <c r="AN95" i="5"/>
  <c r="AR95" i="5" s="1"/>
  <c r="CD94" i="8"/>
  <c r="BX95" i="8"/>
  <c r="CD95" i="8" s="1"/>
  <c r="BT95" i="8"/>
  <c r="BO95" i="8"/>
  <c r="BP95" i="8"/>
  <c r="BM95" i="8"/>
  <c r="BN95" i="8"/>
  <c r="BK95" i="8"/>
  <c r="BL95" i="8"/>
  <c r="BJ95" i="8"/>
  <c r="AC95" i="10"/>
  <c r="X95" i="10" s="1"/>
  <c r="AM95" i="5"/>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V97" i="5" l="1"/>
  <c r="AW97" i="5"/>
  <c r="AF95" i="7"/>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AO96" i="5"/>
  <c r="BP100" i="5" a="1"/>
  <c r="BP100" i="5" s="1"/>
  <c r="J100" i="2" s="1"/>
  <c r="O105" i="1"/>
  <c r="CX94" i="8"/>
  <c r="CY94" i="8" s="1"/>
  <c r="CE95" i="8"/>
  <c r="CX95" i="8" s="1"/>
  <c r="CY95" i="8" s="1"/>
  <c r="BX96" i="8"/>
  <c r="CD96" i="8" s="1"/>
  <c r="BT96" i="8"/>
  <c r="BO96" i="8"/>
  <c r="BP96" i="8"/>
  <c r="BM96" i="8"/>
  <c r="BN96" i="8"/>
  <c r="BK96" i="8"/>
  <c r="BL96" i="8"/>
  <c r="BJ96" i="8"/>
  <c r="AM96" i="5"/>
  <c r="AN96" i="5"/>
  <c r="AR96" i="5" s="1"/>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V98" i="5" l="1"/>
  <c r="AW98" i="5"/>
  <c r="AF97" i="7"/>
  <c r="AG97" i="7"/>
  <c r="AF96"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AO97" i="5"/>
  <c r="BP101" i="5" a="1"/>
  <c r="BP101" i="5" s="1"/>
  <c r="J101" i="2" s="1"/>
  <c r="O106" i="1"/>
  <c r="CE96" i="8"/>
  <c r="CX96" i="8" s="1"/>
  <c r="CY96" i="8" s="1"/>
  <c r="BX97" i="8"/>
  <c r="CE97" i="8" s="1"/>
  <c r="BT97" i="8"/>
  <c r="BO97" i="8"/>
  <c r="BP97" i="8"/>
  <c r="BM97" i="8"/>
  <c r="BN97" i="8"/>
  <c r="BK97" i="8"/>
  <c r="BL97" i="8"/>
  <c r="BJ97" i="8"/>
  <c r="AC97" i="10"/>
  <c r="X97" i="10" s="1"/>
  <c r="AM97" i="5"/>
  <c r="AN97" i="5"/>
  <c r="AR97" i="5"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I97" i="7" s="1"/>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V99" i="5" l="1"/>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AO98" i="5"/>
  <c r="BP102" i="5" a="1"/>
  <c r="BP102" i="5" s="1"/>
  <c r="J102" i="2" s="1"/>
  <c r="O107" i="1"/>
  <c r="CD97" i="8"/>
  <c r="BX98" i="8"/>
  <c r="CE98" i="8" s="1"/>
  <c r="BT98" i="8"/>
  <c r="BO98" i="8"/>
  <c r="BP98" i="8"/>
  <c r="BM98" i="8"/>
  <c r="BN98" i="8"/>
  <c r="BK98" i="8"/>
  <c r="BL98" i="8"/>
  <c r="BJ98" i="8"/>
  <c r="AM98" i="5"/>
  <c r="AN98" i="5"/>
  <c r="AR98" i="5" s="1"/>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V100" i="5" l="1"/>
  <c r="AW100" i="5"/>
  <c r="AF98" i="7"/>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AO99" i="5"/>
  <c r="BP103" i="5" a="1"/>
  <c r="BP103" i="5" s="1"/>
  <c r="J103" i="2" s="1"/>
  <c r="DH100" i="8"/>
  <c r="DI100" i="8" s="1"/>
  <c r="O108" i="1"/>
  <c r="CD98" i="8"/>
  <c r="BT99" i="8"/>
  <c r="BU99" i="8"/>
  <c r="BO99" i="8"/>
  <c r="BP99" i="8"/>
  <c r="BM99" i="8"/>
  <c r="BN99" i="8"/>
  <c r="BK99" i="8"/>
  <c r="BL99" i="8"/>
  <c r="BJ99" i="8"/>
  <c r="AC99" i="10"/>
  <c r="X99" i="10" s="1"/>
  <c r="AN99" i="5"/>
  <c r="AR99" i="5" s="1"/>
  <c r="AM99"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V101" i="5" l="1"/>
  <c r="AW101" i="5"/>
  <c r="AF99" i="7"/>
  <c r="AG99" i="7"/>
  <c r="AI99" i="7" s="1"/>
  <c r="AF100" i="7"/>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AO100" i="5"/>
  <c r="BP104" i="5" a="1"/>
  <c r="BP104" i="5" s="1"/>
  <c r="J104" i="2" s="1"/>
  <c r="O109" i="1"/>
  <c r="BX100" i="8"/>
  <c r="CE100" i="8" s="1"/>
  <c r="BT100" i="8"/>
  <c r="BO100" i="8"/>
  <c r="BP100" i="8"/>
  <c r="BM100" i="8"/>
  <c r="BN100" i="8"/>
  <c r="BK100" i="8"/>
  <c r="BL100" i="8"/>
  <c r="BJ100" i="8"/>
  <c r="AC100" i="10"/>
  <c r="X100" i="10" s="1"/>
  <c r="AN100" i="5"/>
  <c r="AR100" i="5" s="1"/>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V102" i="5" l="1"/>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AO101" i="5"/>
  <c r="BP105" i="5" a="1"/>
  <c r="BP105" i="5" s="1"/>
  <c r="J105" i="2" s="1"/>
  <c r="O110" i="1"/>
  <c r="CD100" i="8"/>
  <c r="BT101" i="8"/>
  <c r="BO101" i="8"/>
  <c r="BP101" i="8"/>
  <c r="BM101" i="8"/>
  <c r="BN101" i="8"/>
  <c r="BK101" i="8"/>
  <c r="BL101" i="8"/>
  <c r="BJ101" i="8"/>
  <c r="AC101" i="10"/>
  <c r="X101" i="10" s="1"/>
  <c r="AN101" i="5"/>
  <c r="AR101" i="5" s="1"/>
  <c r="AM101" i="5"/>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V103" i="5" l="1"/>
  <c r="AW103" i="5"/>
  <c r="AF102" i="7"/>
  <c r="AG102" i="7"/>
  <c r="AF101"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AO102" i="5"/>
  <c r="BP106" i="5" a="1"/>
  <c r="BP106" i="5" s="1"/>
  <c r="J106" i="2" s="1"/>
  <c r="O111" i="1"/>
  <c r="BX102" i="8"/>
  <c r="CE102" i="8" s="1"/>
  <c r="BT102" i="8"/>
  <c r="BO102" i="8"/>
  <c r="BP102" i="8"/>
  <c r="BM102" i="8"/>
  <c r="BN102" i="8"/>
  <c r="BK102" i="8"/>
  <c r="BL102" i="8"/>
  <c r="BJ102" i="8"/>
  <c r="AC102" i="10"/>
  <c r="X102" i="10" s="1"/>
  <c r="AN102" i="5"/>
  <c r="AR102" i="5" s="1"/>
  <c r="AM102" i="5"/>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AI102" i="7" s="1"/>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V104" i="5" l="1"/>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AO103" i="5"/>
  <c r="BP107" i="5" a="1"/>
  <c r="BP107" i="5" s="1"/>
  <c r="J107" i="2" s="1"/>
  <c r="DH104" i="8"/>
  <c r="DI104" i="8" s="1"/>
  <c r="O112" i="1"/>
  <c r="CD102" i="8"/>
  <c r="BX103" i="8"/>
  <c r="CD103" i="8" s="1"/>
  <c r="BT103" i="8"/>
  <c r="BO103" i="8"/>
  <c r="BP103" i="8"/>
  <c r="BM103" i="8"/>
  <c r="BN103" i="8"/>
  <c r="BK103" i="8"/>
  <c r="BL103" i="8"/>
  <c r="BJ103" i="8"/>
  <c r="AC103" i="10"/>
  <c r="X103" i="10" s="1"/>
  <c r="AN103" i="5"/>
  <c r="AR103" i="5" s="1"/>
  <c r="AM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V105" i="5" l="1"/>
  <c r="AW105" i="5"/>
  <c r="AF103" i="7"/>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AO104" i="5"/>
  <c r="BP108" i="5" a="1"/>
  <c r="BP108" i="5" s="1"/>
  <c r="J108" i="2" s="1"/>
  <c r="O113" i="1"/>
  <c r="CE103" i="8"/>
  <c r="CX103" i="8" s="1"/>
  <c r="CY103" i="8" s="1"/>
  <c r="BX104" i="8"/>
  <c r="CD104" i="8" s="1"/>
  <c r="BT104" i="8"/>
  <c r="BO104" i="8"/>
  <c r="BP104" i="8"/>
  <c r="BM104" i="8"/>
  <c r="BN104" i="8"/>
  <c r="BK104" i="8"/>
  <c r="BL104" i="8"/>
  <c r="BJ104" i="8"/>
  <c r="AC104" i="10"/>
  <c r="X104" i="10" s="1"/>
  <c r="AM104" i="5"/>
  <c r="AN104" i="5"/>
  <c r="AR104" i="5" s="1"/>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V106" i="5" l="1"/>
  <c r="AW106" i="5"/>
  <c r="AF104" i="7"/>
  <c r="AG104" i="7"/>
  <c r="AI104" i="7" s="1"/>
  <c r="AF105" i="7"/>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AO105" i="5"/>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M105" i="5"/>
  <c r="AN105" i="5"/>
  <c r="AR105" i="5"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V107" i="5" l="1"/>
  <c r="AW107" i="5"/>
  <c r="AI105" i="7"/>
  <c r="AF106"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AO106" i="5"/>
  <c r="BP110" i="5" a="1"/>
  <c r="BP110" i="5" s="1"/>
  <c r="J110" i="2" s="1"/>
  <c r="BI107" i="8"/>
  <c r="O115" i="1"/>
  <c r="CE105" i="8"/>
  <c r="CX105" i="8" s="1"/>
  <c r="CY105" i="8" s="1"/>
  <c r="BX106" i="8"/>
  <c r="CE106" i="8" s="1"/>
  <c r="BT106" i="8"/>
  <c r="BO106" i="8"/>
  <c r="BP106" i="8"/>
  <c r="BM106" i="8"/>
  <c r="BN106" i="8"/>
  <c r="BK106" i="8"/>
  <c r="BL106" i="8"/>
  <c r="BJ106" i="8"/>
  <c r="AC106" i="10"/>
  <c r="X106" i="10" s="1"/>
  <c r="AM106" i="5"/>
  <c r="AN106" i="5"/>
  <c r="AR106" i="5"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V108" i="5" l="1"/>
  <c r="AW108" i="5"/>
  <c r="AI106" i="7"/>
  <c r="AF107"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AO107" i="5"/>
  <c r="BP111" i="5" a="1"/>
  <c r="BP111" i="5" s="1"/>
  <c r="J111" i="2" s="1"/>
  <c r="O116" i="1"/>
  <c r="CD106" i="8"/>
  <c r="BX107" i="8"/>
  <c r="CD107" i="8" s="1"/>
  <c r="BT107" i="8"/>
  <c r="BO107" i="8"/>
  <c r="BP107" i="8"/>
  <c r="BM107" i="8"/>
  <c r="BN107" i="8"/>
  <c r="BK107" i="8"/>
  <c r="BL107" i="8"/>
  <c r="BJ107" i="8"/>
  <c r="AC107" i="10"/>
  <c r="X107" i="10" s="1"/>
  <c r="AM107" i="5"/>
  <c r="AN107" i="5"/>
  <c r="AR107" i="5" s="1"/>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V109" i="5" l="1"/>
  <c r="AW109" i="5"/>
  <c r="AI107" i="7"/>
  <c r="AF108"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AO108" i="5"/>
  <c r="BP112" i="5" a="1"/>
  <c r="BP112" i="5" s="1"/>
  <c r="J112" i="2" s="1"/>
  <c r="O117" i="1"/>
  <c r="CE107" i="8"/>
  <c r="CX107" i="8" s="1"/>
  <c r="CY107" i="8" s="1"/>
  <c r="BT108" i="8"/>
  <c r="BO108" i="8"/>
  <c r="BP108" i="8"/>
  <c r="BM108" i="8"/>
  <c r="BN108" i="8"/>
  <c r="BK108" i="8"/>
  <c r="BL108" i="8"/>
  <c r="BJ108" i="8"/>
  <c r="AC108" i="10"/>
  <c r="X108" i="10" s="1"/>
  <c r="AM108" i="5"/>
  <c r="AN108" i="5"/>
  <c r="AR108" i="5" s="1"/>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V110" i="5" l="1"/>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AO109" i="5"/>
  <c r="BP113" i="5" a="1"/>
  <c r="BP113" i="5" s="1"/>
  <c r="J113" i="2" s="1"/>
  <c r="O118" i="1"/>
  <c r="BX109" i="8"/>
  <c r="CD109" i="8" s="1"/>
  <c r="BT109" i="8"/>
  <c r="BO109" i="8"/>
  <c r="BP109" i="8"/>
  <c r="BM109" i="8"/>
  <c r="BN109" i="8"/>
  <c r="BK109" i="8"/>
  <c r="BL109" i="8"/>
  <c r="BJ109" i="8"/>
  <c r="AC109" i="10"/>
  <c r="X109" i="10" s="1"/>
  <c r="AM109" i="5"/>
  <c r="AN109" i="5"/>
  <c r="AR109" i="5"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V111" i="5" l="1"/>
  <c r="AW111" i="5"/>
  <c r="AF109" i="7"/>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AO110" i="5"/>
  <c r="BP114" i="5" a="1"/>
  <c r="BP114" i="5" s="1"/>
  <c r="J114" i="2" s="1"/>
  <c r="O119" i="1"/>
  <c r="CE109" i="8"/>
  <c r="CX109" i="8" s="1"/>
  <c r="CY109" i="8" s="1"/>
  <c r="BT110" i="8"/>
  <c r="BO110" i="8"/>
  <c r="BP110" i="8"/>
  <c r="BM110" i="8"/>
  <c r="BN110" i="8"/>
  <c r="BK110" i="8"/>
  <c r="BL110" i="8"/>
  <c r="BJ110" i="8"/>
  <c r="AC110" i="10"/>
  <c r="X110" i="10" s="1"/>
  <c r="AM110" i="5"/>
  <c r="AN110" i="5"/>
  <c r="AR110" i="5"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V112" i="5" l="1"/>
  <c r="AW112" i="5"/>
  <c r="AF110" i="7"/>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BP115" i="5" a="1"/>
  <c r="BP115" i="5" s="1"/>
  <c r="J115" i="2" s="1"/>
  <c r="O120" i="1"/>
  <c r="BX111" i="8"/>
  <c r="CD111" i="8" s="1"/>
  <c r="BT111" i="8"/>
  <c r="BO111" i="8"/>
  <c r="BP111" i="8"/>
  <c r="BM111" i="8"/>
  <c r="BN111" i="8"/>
  <c r="BK111" i="8"/>
  <c r="BL111" i="8"/>
  <c r="BJ111" i="8"/>
  <c r="AC111" i="10"/>
  <c r="X111" i="10" s="1"/>
  <c r="AM111" i="5"/>
  <c r="AN111" i="5"/>
  <c r="AR111" i="5"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V113" i="5" l="1"/>
  <c r="AW113" i="5"/>
  <c r="AF112" i="7"/>
  <c r="AG112" i="7"/>
  <c r="AF111"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AO112" i="5"/>
  <c r="BP116" i="5" a="1"/>
  <c r="BP116" i="5" s="1"/>
  <c r="J116" i="2" s="1"/>
  <c r="O121" i="1"/>
  <c r="CE111" i="8"/>
  <c r="CX111" i="8" s="1"/>
  <c r="CY111" i="8" s="1"/>
  <c r="BX112" i="8"/>
  <c r="CE112" i="8" s="1"/>
  <c r="BT112" i="8"/>
  <c r="BO112" i="8"/>
  <c r="BP112" i="8"/>
  <c r="BM112" i="8"/>
  <c r="BN112" i="8"/>
  <c r="BK112" i="8"/>
  <c r="BL112" i="8"/>
  <c r="BJ112" i="8"/>
  <c r="AC112" i="10"/>
  <c r="X112" i="10" s="1"/>
  <c r="AM112" i="5"/>
  <c r="AN112" i="5"/>
  <c r="AR112" i="5" s="1"/>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AI112" i="7" s="1"/>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V114" i="5" l="1"/>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AO113" i="5"/>
  <c r="BP117" i="5" a="1"/>
  <c r="BP117" i="5" s="1"/>
  <c r="J117" i="2" s="1"/>
  <c r="O122" i="1"/>
  <c r="CD112" i="8"/>
  <c r="BX113" i="8"/>
  <c r="CD113" i="8" s="1"/>
  <c r="BT113" i="8"/>
  <c r="BO113" i="8"/>
  <c r="BP113" i="8"/>
  <c r="BM113" i="8"/>
  <c r="BN113" i="8"/>
  <c r="BK113" i="8"/>
  <c r="BL113" i="8"/>
  <c r="BJ113" i="8"/>
  <c r="AC113" i="10"/>
  <c r="X113" i="10" s="1"/>
  <c r="AM113" i="5"/>
  <c r="AN113" i="5"/>
  <c r="AR113" i="5" s="1"/>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V115" i="5" l="1"/>
  <c r="AW115" i="5"/>
  <c r="AF113" i="7"/>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AO114" i="5"/>
  <c r="BP118" i="5" a="1"/>
  <c r="BP118" i="5" s="1"/>
  <c r="J118" i="2" s="1"/>
  <c r="BH115" i="8"/>
  <c r="BU115" i="8" s="1"/>
  <c r="O123" i="1"/>
  <c r="CE113" i="8"/>
  <c r="CX113" i="8" s="1"/>
  <c r="CY113" i="8" s="1"/>
  <c r="BT114" i="8"/>
  <c r="BO114" i="8"/>
  <c r="BP114" i="8"/>
  <c r="BM114" i="8"/>
  <c r="BN114" i="8"/>
  <c r="BK114" i="8"/>
  <c r="BL114" i="8"/>
  <c r="BJ114" i="8"/>
  <c r="AC114" i="10"/>
  <c r="X114" i="10" s="1"/>
  <c r="AM114" i="5"/>
  <c r="AN114" i="5"/>
  <c r="AR114" i="5" s="1"/>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V116" i="5" l="1"/>
  <c r="AW116" i="5"/>
  <c r="AF115" i="7"/>
  <c r="AG115" i="7"/>
  <c r="AF114"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BP119" i="5" a="1"/>
  <c r="BP119" i="5" s="1"/>
  <c r="J119" i="2" s="1"/>
  <c r="O124" i="1"/>
  <c r="BO115" i="8"/>
  <c r="BP115" i="8"/>
  <c r="BM115" i="8"/>
  <c r="BN115" i="8"/>
  <c r="BK115" i="8"/>
  <c r="BL115" i="8"/>
  <c r="BJ115" i="8"/>
  <c r="AC115" i="10"/>
  <c r="X115" i="10" s="1"/>
  <c r="AM115" i="5"/>
  <c r="AN115" i="5"/>
  <c r="AR115" i="5"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I115" i="7" s="1"/>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V117" i="5" l="1"/>
  <c r="AW117" i="5"/>
  <c r="AF116" i="7"/>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AO116" i="5"/>
  <c r="BP120" i="5" a="1"/>
  <c r="BP120" i="5" s="1"/>
  <c r="J120" i="2" s="1"/>
  <c r="DH117" i="8"/>
  <c r="DI117" i="8" s="1"/>
  <c r="O125" i="1"/>
  <c r="BX116" i="8"/>
  <c r="CE116" i="8" s="1"/>
  <c r="BT116" i="8"/>
  <c r="BO116" i="8"/>
  <c r="BP116" i="8"/>
  <c r="BM116" i="8"/>
  <c r="BN116" i="8"/>
  <c r="BK116" i="8"/>
  <c r="BL116" i="8"/>
  <c r="BJ116" i="8"/>
  <c r="AC116" i="10"/>
  <c r="X116" i="10" s="1"/>
  <c r="AN116" i="5"/>
  <c r="AR116" i="5" s="1"/>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V118" i="5" l="1"/>
  <c r="AW118" i="5"/>
  <c r="AI116" i="7"/>
  <c r="AF117"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AO117" i="5"/>
  <c r="BP121" i="5" a="1"/>
  <c r="BP121" i="5" s="1"/>
  <c r="J121" i="2" s="1"/>
  <c r="O126" i="1"/>
  <c r="CD116" i="8"/>
  <c r="BX117" i="8"/>
  <c r="CD117" i="8" s="1"/>
  <c r="BT117" i="8"/>
  <c r="BO117" i="8"/>
  <c r="BP117" i="8"/>
  <c r="BM117" i="8"/>
  <c r="BN117" i="8"/>
  <c r="BK117" i="8"/>
  <c r="BL117" i="8"/>
  <c r="BJ117" i="8"/>
  <c r="AC117" i="10"/>
  <c r="X117" i="10" s="1"/>
  <c r="AN117" i="5"/>
  <c r="AR117" i="5" s="1"/>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AI117" i="7" s="1"/>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V119" i="5" l="1"/>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AO118" i="5"/>
  <c r="BP122" i="5" a="1"/>
  <c r="BP122" i="5" s="1"/>
  <c r="J122" i="2" s="1"/>
  <c r="O127" i="1"/>
  <c r="CE117" i="8"/>
  <c r="CX117" i="8" s="1"/>
  <c r="CY117" i="8" s="1"/>
  <c r="BX118" i="8"/>
  <c r="CE118" i="8" s="1"/>
  <c r="BT118" i="8"/>
  <c r="BO118" i="8"/>
  <c r="BP118" i="8"/>
  <c r="BM118" i="8"/>
  <c r="BN118" i="8"/>
  <c r="BK118" i="8"/>
  <c r="BL118" i="8"/>
  <c r="BJ118" i="8"/>
  <c r="AC118" i="10"/>
  <c r="X118" i="10" s="1"/>
  <c r="AN118" i="5"/>
  <c r="AR118" i="5" s="1"/>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V120" i="5" l="1"/>
  <c r="AW120" i="5"/>
  <c r="AF119" i="7"/>
  <c r="AG119" i="7"/>
  <c r="AF118" i="7"/>
  <c r="AG118" i="7"/>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BP123" i="5" a="1"/>
  <c r="BP123" i="5" s="1"/>
  <c r="J123" i="2" s="1"/>
  <c r="AI118" i="7"/>
  <c r="O128" i="1"/>
  <c r="CD118" i="8"/>
  <c r="AK123" i="11"/>
  <c r="BX119" i="8"/>
  <c r="CD119" i="8" s="1"/>
  <c r="BT119" i="8"/>
  <c r="BO119" i="8"/>
  <c r="BP119" i="8"/>
  <c r="BM119" i="8"/>
  <c r="BN119" i="8"/>
  <c r="BK119" i="8"/>
  <c r="BL119" i="8"/>
  <c r="BJ119" i="8"/>
  <c r="AC119" i="10"/>
  <c r="X119" i="10" s="1"/>
  <c r="AM119" i="5"/>
  <c r="AN119" i="5"/>
  <c r="AR119" i="5" s="1"/>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V121" i="5" l="1"/>
  <c r="AW121" i="5"/>
  <c r="AF120" i="7"/>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AO120" i="5"/>
  <c r="BP124" i="5" a="1"/>
  <c r="BP124" i="5" s="1"/>
  <c r="J124" i="2" s="1"/>
  <c r="O129" i="1"/>
  <c r="AK124" i="11"/>
  <c r="CE119" i="8"/>
  <c r="CX119" i="8" s="1"/>
  <c r="CY119" i="8" s="1"/>
  <c r="BT120" i="8"/>
  <c r="BU120" i="8"/>
  <c r="BO120" i="8"/>
  <c r="BP120" i="8"/>
  <c r="BM120" i="8"/>
  <c r="BN120" i="8"/>
  <c r="BK120" i="8"/>
  <c r="BL120" i="8"/>
  <c r="BJ120" i="8"/>
  <c r="AN120" i="5"/>
  <c r="AR120" i="5" s="1"/>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V122" i="5" l="1"/>
  <c r="AW122" i="5"/>
  <c r="AI120" i="7"/>
  <c r="AF121"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AO121" i="5"/>
  <c r="BP125" i="5" a="1"/>
  <c r="BP125" i="5" s="1"/>
  <c r="J125" i="2" s="1"/>
  <c r="O130" i="1"/>
  <c r="AK125" i="11"/>
  <c r="BX121" i="8"/>
  <c r="CE121" i="8" s="1"/>
  <c r="BT121" i="8"/>
  <c r="BO121" i="8"/>
  <c r="BP121" i="8"/>
  <c r="BM121" i="8"/>
  <c r="BN121" i="8"/>
  <c r="BK121" i="8"/>
  <c r="BL121" i="8"/>
  <c r="BJ121" i="8"/>
  <c r="AC121" i="10"/>
  <c r="X121" i="10" s="1"/>
  <c r="AM121" i="5"/>
  <c r="AN121" i="5"/>
  <c r="AR121" i="5" s="1"/>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AI121" i="7" s="1"/>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V123" i="5" l="1"/>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BP126" i="5" a="1"/>
  <c r="BP126" i="5" s="1"/>
  <c r="J126" i="2" s="1"/>
  <c r="AK126" i="11"/>
  <c r="O131" i="1"/>
  <c r="CD121" i="8"/>
  <c r="BT122" i="8"/>
  <c r="BO122" i="8"/>
  <c r="BP122" i="8"/>
  <c r="BM122" i="8"/>
  <c r="BN122" i="8"/>
  <c r="BK122" i="8"/>
  <c r="BL122" i="8"/>
  <c r="BJ122" i="8"/>
  <c r="AC122" i="10"/>
  <c r="X122" i="10" s="1"/>
  <c r="AM122" i="5"/>
  <c r="AN122" i="5"/>
  <c r="AR122" i="5" s="1"/>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V124" i="5" l="1"/>
  <c r="AW124" i="5"/>
  <c r="AF122" i="7"/>
  <c r="AG122" i="7"/>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AO123" i="5"/>
  <c r="BP127" i="5" a="1"/>
  <c r="BP127" i="5" s="1"/>
  <c r="J127" i="2" s="1"/>
  <c r="AK127" i="11"/>
  <c r="E124" i="1"/>
  <c r="AI122" i="7"/>
  <c r="O132" i="1"/>
  <c r="BX123" i="8"/>
  <c r="CE123" i="8" s="1"/>
  <c r="BT123" i="8"/>
  <c r="BO123" i="8"/>
  <c r="BP123" i="8"/>
  <c r="BM123" i="8"/>
  <c r="BN123" i="8"/>
  <c r="BK123" i="8"/>
  <c r="BL123" i="8"/>
  <c r="BJ123" i="8"/>
  <c r="AN123" i="5"/>
  <c r="AR123" i="5" s="1"/>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V125" i="5" l="1"/>
  <c r="AW125" i="5"/>
  <c r="AF123" i="7"/>
  <c r="AG123" i="7"/>
  <c r="AI123" i="7" s="1"/>
  <c r="AF124" i="7"/>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O124" i="5"/>
  <c r="AK128" i="11"/>
  <c r="BP128" i="5" a="1"/>
  <c r="BP128" i="5" s="1"/>
  <c r="J128" i="2" s="1"/>
  <c r="O133" i="1"/>
  <c r="CD123" i="8"/>
  <c r="BT124" i="8"/>
  <c r="BO124" i="8"/>
  <c r="BP124" i="8"/>
  <c r="BM124" i="8"/>
  <c r="BN124" i="8"/>
  <c r="BK124" i="8"/>
  <c r="BL124" i="8"/>
  <c r="BJ124" i="8"/>
  <c r="AC124" i="10"/>
  <c r="X124" i="10" s="1"/>
  <c r="AM124" i="5"/>
  <c r="AN124" i="5"/>
  <c r="AR124" i="5" s="1"/>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V126" i="5" l="1"/>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AO125" i="5"/>
  <c r="BP129" i="5" a="1"/>
  <c r="BP129" i="5" s="1"/>
  <c r="J129" i="2" s="1"/>
  <c r="O134" i="1"/>
  <c r="BX125" i="8"/>
  <c r="CE125" i="8" s="1"/>
  <c r="BT125" i="8"/>
  <c r="BO125" i="8"/>
  <c r="BP125" i="8"/>
  <c r="BM125" i="8"/>
  <c r="BN125" i="8"/>
  <c r="BK125" i="8"/>
  <c r="BL125" i="8"/>
  <c r="BJ125" i="8"/>
  <c r="AC125" i="10"/>
  <c r="X125" i="10" s="1"/>
  <c r="AM125" i="5"/>
  <c r="AN125" i="5"/>
  <c r="AR125" i="5" s="1"/>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V127" i="5" l="1"/>
  <c r="AW127" i="5"/>
  <c r="AF125" i="7"/>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AO126" i="5"/>
  <c r="BP130" i="5" a="1"/>
  <c r="BP130" i="5" s="1"/>
  <c r="J130" i="2" s="1"/>
  <c r="O135" i="1"/>
  <c r="CD125" i="8"/>
  <c r="BT126" i="8"/>
  <c r="BO126" i="8"/>
  <c r="BP126" i="8"/>
  <c r="BM126" i="8"/>
  <c r="BN126" i="8"/>
  <c r="BK126" i="8"/>
  <c r="BL126" i="8"/>
  <c r="BJ126" i="8"/>
  <c r="AC126" i="10"/>
  <c r="X126" i="10" s="1"/>
  <c r="AN126" i="5"/>
  <c r="AR126" i="5" s="1"/>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V128" i="5" l="1"/>
  <c r="AW128" i="5"/>
  <c r="AF126" i="7"/>
  <c r="AG126" i="7"/>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AO127" i="5"/>
  <c r="BP131" i="5" a="1"/>
  <c r="BP131" i="5" s="1"/>
  <c r="J131" i="2" s="1"/>
  <c r="AI126" i="7"/>
  <c r="O136" i="1"/>
  <c r="BX127" i="8"/>
  <c r="CD127" i="8" s="1"/>
  <c r="BT127" i="8"/>
  <c r="BO127" i="8"/>
  <c r="BP127" i="8"/>
  <c r="BM127" i="8"/>
  <c r="BN127" i="8"/>
  <c r="BK127" i="8"/>
  <c r="BL127" i="8"/>
  <c r="BJ127" i="8"/>
  <c r="AN127" i="5"/>
  <c r="AR127" i="5" s="1"/>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B130" i="1"/>
  <c r="DI130" i="5"/>
  <c r="DA129" i="5"/>
  <c r="DG129" i="5" s="1" a="1"/>
  <c r="DG129" i="5" s="1"/>
  <c r="N115" i="1"/>
  <c r="S132" i="2"/>
  <c r="N133" i="2"/>
  <c r="R133" i="2"/>
  <c r="Q132" i="2"/>
  <c r="J134" i="10"/>
  <c r="N134" i="5" s="1"/>
  <c r="P134" i="2"/>
  <c r="AV129" i="5" l="1"/>
  <c r="AW129" i="5"/>
  <c r="AF127" i="7"/>
  <c r="AG127" i="7"/>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AO128" i="5"/>
  <c r="BP132" i="5" a="1"/>
  <c r="BP132" i="5" s="1"/>
  <c r="J132" i="2" s="1"/>
  <c r="AI127" i="7"/>
  <c r="CE127" i="8"/>
  <c r="CX127" i="8" s="1"/>
  <c r="CY127" i="8" s="1"/>
  <c r="AN128" i="5"/>
  <c r="AR128" i="5" s="1"/>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DA130" i="5"/>
  <c r="DG130" i="5" s="1" a="1"/>
  <c r="DG130" i="5" s="1"/>
  <c r="AB131" i="1"/>
  <c r="DI131" i="5"/>
  <c r="N116" i="1"/>
  <c r="S133" i="2"/>
  <c r="N134" i="2"/>
  <c r="R134" i="2"/>
  <c r="Q133" i="2"/>
  <c r="P135" i="2"/>
  <c r="J135" i="10"/>
  <c r="N135" i="5" s="1"/>
  <c r="AV130" i="5" l="1"/>
  <c r="AW130" i="5"/>
  <c r="AF128" i="7"/>
  <c r="AG128" i="7"/>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BP133" i="5" a="1"/>
  <c r="BP133" i="5" s="1"/>
  <c r="J133" i="2" s="1"/>
  <c r="AI128" i="7"/>
  <c r="CE128" i="8"/>
  <c r="CX128" i="8" s="1"/>
  <c r="CY128" i="8" s="1"/>
  <c r="BX129" i="8"/>
  <c r="CE129" i="8" s="1"/>
  <c r="BT129" i="8"/>
  <c r="BO129" i="8"/>
  <c r="BP129" i="8"/>
  <c r="BM129" i="8"/>
  <c r="BN129" i="8"/>
  <c r="BK129" i="8"/>
  <c r="BL129" i="8"/>
  <c r="BJ129" i="8"/>
  <c r="AC129" i="10"/>
  <c r="X129" i="10" s="1"/>
  <c r="AM129" i="5"/>
  <c r="AN129" i="5"/>
  <c r="AR129" i="5" s="1"/>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Q129" i="7"/>
  <c r="AB132" i="1"/>
  <c r="DI132" i="5"/>
  <c r="DA131" i="5"/>
  <c r="DG131" i="5" s="1" a="1"/>
  <c r="DG131" i="5" s="1"/>
  <c r="N117" i="1"/>
  <c r="S134" i="2"/>
  <c r="N135" i="2"/>
  <c r="R135" i="2"/>
  <c r="Q134" i="2"/>
  <c r="J136" i="10"/>
  <c r="N136" i="5" s="1"/>
  <c r="P136" i="2"/>
  <c r="AV131" i="5" l="1"/>
  <c r="AW131" i="5"/>
  <c r="AF129" i="7"/>
  <c r="AG129" i="7"/>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BP134" i="5" a="1"/>
  <c r="BP134" i="5" s="1"/>
  <c r="J134" i="2" s="1"/>
  <c r="AI129" i="7"/>
  <c r="CD129" i="8"/>
  <c r="BX130" i="8"/>
  <c r="CD130" i="8" s="1"/>
  <c r="BT130" i="8"/>
  <c r="BO130" i="8"/>
  <c r="BP130" i="8"/>
  <c r="BM130" i="8"/>
  <c r="BN130" i="8"/>
  <c r="BK130" i="8"/>
  <c r="BL130" i="8"/>
  <c r="BJ130" i="8"/>
  <c r="AC130" i="10"/>
  <c r="X130" i="10" s="1"/>
  <c r="AM130" i="5"/>
  <c r="AN130" i="5"/>
  <c r="AR130" i="5" s="1"/>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F130" i="7" l="1"/>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AO131" i="5"/>
  <c r="BP135" i="5" a="1"/>
  <c r="BP135" i="5" s="1"/>
  <c r="J135" i="2" s="1"/>
  <c r="DG132" i="5" a="1"/>
  <c r="DG132" i="5" s="1"/>
  <c r="CE130" i="8"/>
  <c r="CX130" i="8" s="1"/>
  <c r="CY130" i="8" s="1"/>
  <c r="BT131" i="8"/>
  <c r="BO131" i="8"/>
  <c r="BP131" i="8"/>
  <c r="BM131" i="8"/>
  <c r="BN131" i="8"/>
  <c r="BK131" i="8"/>
  <c r="BL131" i="8"/>
  <c r="BJ131" i="8"/>
  <c r="AC131" i="10"/>
  <c r="X131" i="10" s="1"/>
  <c r="AM131" i="5"/>
  <c r="AN131" i="5"/>
  <c r="AR131" i="5" s="1"/>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F131" i="7"/>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V133" i="5" l="1"/>
  <c r="AW133" i="5"/>
  <c r="CL133" i="8"/>
  <c r="CC132" i="8"/>
  <c r="CV132" i="8" s="1"/>
  <c r="CW132" i="8" s="1"/>
  <c r="AC132" i="1"/>
  <c r="BR132" i="8"/>
  <c r="BS132" i="8"/>
  <c r="AS136" i="5"/>
  <c r="V135" i="2"/>
  <c r="AO132" i="5"/>
  <c r="DG134" i="5" a="1"/>
  <c r="DG134" i="5" s="1"/>
  <c r="BX132" i="8"/>
  <c r="CE132" i="8" s="1"/>
  <c r="BT132" i="8"/>
  <c r="BO132" i="8"/>
  <c r="BP132" i="8"/>
  <c r="BM132" i="8"/>
  <c r="BN132" i="8"/>
  <c r="BK132" i="8"/>
  <c r="BL132" i="8"/>
  <c r="BJ132" i="8"/>
  <c r="AC132" i="10"/>
  <c r="X132" i="10" s="1"/>
  <c r="AM132" i="5"/>
  <c r="AN132" i="5"/>
  <c r="AR132" i="5"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B135" i="10"/>
  <c r="D135" i="7"/>
  <c r="G136" i="5"/>
  <c r="B135" i="5"/>
  <c r="C135" i="5"/>
  <c r="AB136" i="1"/>
  <c r="DI136" i="5"/>
  <c r="DA135" i="5"/>
  <c r="N121" i="1"/>
  <c r="AV134" i="5" l="1"/>
  <c r="AW134" i="5"/>
  <c r="AF133" i="7"/>
  <c r="AG133" i="7"/>
  <c r="AF132" i="7"/>
  <c r="AG132" i="7"/>
  <c r="AI132" i="7" s="1"/>
  <c r="CL134" i="8"/>
  <c r="CC133" i="8"/>
  <c r="CV133" i="8" s="1"/>
  <c r="CW133" i="8" s="1"/>
  <c r="AC133" i="1"/>
  <c r="BR133" i="8"/>
  <c r="BS133" i="8"/>
  <c r="CZ136" i="5"/>
  <c r="V136" i="2"/>
  <c r="AO133" i="5"/>
  <c r="CD132" i="8"/>
  <c r="DG135" i="5" a="1"/>
  <c r="DG135" i="5" s="1"/>
  <c r="BX133" i="8"/>
  <c r="CE133" i="8" s="1"/>
  <c r="BT133" i="8"/>
  <c r="BO133" i="8"/>
  <c r="BP133" i="8"/>
  <c r="BM133" i="8"/>
  <c r="BN133" i="8"/>
  <c r="BK133" i="8"/>
  <c r="BL133" i="8"/>
  <c r="BJ133" i="8"/>
  <c r="AC133" i="10"/>
  <c r="X133" i="10" s="1"/>
  <c r="AM133" i="5"/>
  <c r="AN133" i="5"/>
  <c r="AR133" i="5"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V135" i="5" l="1"/>
  <c r="AW135" i="5"/>
  <c r="AI133" i="7"/>
  <c r="CL135" i="8"/>
  <c r="CC134" i="8"/>
  <c r="CV134" i="8" s="1"/>
  <c r="CW134" i="8" s="1"/>
  <c r="AC134" i="1"/>
  <c r="DG136" i="5" a="1"/>
  <c r="DG136" i="5" s="1"/>
  <c r="BR134" i="8"/>
  <c r="BS134" i="8"/>
  <c r="CX132" i="8"/>
  <c r="CY132" i="8" s="1"/>
  <c r="AO134" i="5"/>
  <c r="AN134" i="5"/>
  <c r="AR134" i="5" s="1"/>
  <c r="CD133" i="8"/>
  <c r="BX134" i="8"/>
  <c r="CD134" i="8" s="1"/>
  <c r="BT134" i="8"/>
  <c r="BO134" i="8"/>
  <c r="BP134" i="8"/>
  <c r="BM134" i="8"/>
  <c r="BN134" i="8"/>
  <c r="BK134" i="8"/>
  <c r="BL134" i="8"/>
  <c r="BJ134" i="8"/>
  <c r="AC134" i="10"/>
  <c r="X134" i="10" s="1"/>
  <c r="AM134" i="5"/>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A1269" i="14"/>
  <c r="AA1270" i="14" s="1"/>
  <c r="N123" i="1"/>
  <c r="AV136" i="5" l="1"/>
  <c r="AW136" i="5"/>
  <c r="AF134" i="7"/>
  <c r="AG134" i="7"/>
  <c r="CL136" i="8"/>
  <c r="CB135" i="8"/>
  <c r="CT135" i="8" s="1"/>
  <c r="AC135" i="1"/>
  <c r="BR135" i="8"/>
  <c r="BS135" i="8"/>
  <c r="CE134" i="8"/>
  <c r="CX134" i="8" s="1"/>
  <c r="CY134" i="8" s="1"/>
  <c r="CX133" i="8"/>
  <c r="CY133" i="8" s="1"/>
  <c r="AO135" i="5"/>
  <c r="AI134" i="7"/>
  <c r="BX135" i="8"/>
  <c r="CD135" i="8" s="1"/>
  <c r="BT135" i="8"/>
  <c r="BO135" i="8"/>
  <c r="BP135" i="8"/>
  <c r="BM135" i="8"/>
  <c r="BN135" i="8"/>
  <c r="BK135" i="8"/>
  <c r="BL135" i="8"/>
  <c r="BJ135" i="8"/>
  <c r="AC135" i="10"/>
  <c r="X135" i="10" s="1"/>
  <c r="AM135" i="5"/>
  <c r="AN135" i="5"/>
  <c r="AR135" i="5"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F136" i="7" l="1"/>
  <c r="AG136" i="7"/>
  <c r="AF135" i="7"/>
  <c r="AG135" i="7"/>
  <c r="AI135" i="7" s="1"/>
  <c r="CA136" i="8"/>
  <c r="AC136" i="1"/>
  <c r="BR136" i="8"/>
  <c r="BS136" i="8"/>
  <c r="AO136" i="5"/>
  <c r="CE135" i="8"/>
  <c r="CX135" i="8" s="1"/>
  <c r="CY135" i="8" s="1"/>
  <c r="BX136" i="8"/>
  <c r="CD136" i="8" s="1"/>
  <c r="BT136" i="8"/>
  <c r="BO136" i="8"/>
  <c r="BP136" i="8"/>
  <c r="BM136" i="8"/>
  <c r="BN136" i="8"/>
  <c r="BK136" i="8"/>
  <c r="BL136" i="8"/>
  <c r="BJ136" i="8"/>
  <c r="AC136" i="10"/>
  <c r="X136" i="10" s="1"/>
  <c r="AM136" i="5"/>
  <c r="AN136" i="5"/>
  <c r="AR136" i="5"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AI136" i="7" l="1"/>
  <c r="I65" i="4"/>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AQ4" i="1" l="1"/>
  <c r="I67" i="4"/>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I66" i="4" s="1"/>
  <c r="AT52" i="8"/>
  <c r="AW52" i="1" s="1"/>
  <c r="L51" i="1" l="1"/>
  <c r="E51" i="11" s="1"/>
  <c r="BM50" i="1"/>
  <c r="M52" i="1"/>
  <c r="AT52" i="1"/>
  <c r="AU52" i="1"/>
  <c r="AS53" i="8"/>
  <c r="AT53" i="8"/>
  <c r="AW53" i="1" s="1"/>
  <c r="F52" i="11" l="1"/>
  <c r="B68" i="4"/>
  <c r="L52" i="1"/>
  <c r="BM51" i="1"/>
  <c r="M53" i="1"/>
  <c r="F53" i="11" s="1"/>
  <c r="AU53" i="1"/>
  <c r="AT53" i="1"/>
  <c r="AT54" i="8"/>
  <c r="AW54" i="1" s="1"/>
  <c r="AS54" i="8"/>
  <c r="E52" i="11" l="1"/>
  <c r="B67" i="4"/>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U4" i="2" s="1"/>
  <c r="C4" i="2" s="1"/>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F4" i="1" l="1"/>
  <c r="H4" i="2"/>
  <c r="I4" i="2"/>
  <c r="AA4" i="1" s="1"/>
  <c r="S4" i="1" s="1"/>
  <c r="H5" i="1" s="1"/>
  <c r="S4" i="8"/>
  <c r="F4" i="2"/>
  <c r="J4" i="11" s="1"/>
  <c r="BM135" i="1"/>
  <c r="L136" i="1"/>
  <c r="E136" i="11" s="1"/>
  <c r="K4" i="1"/>
  <c r="AR4" i="8" s="1"/>
  <c r="AK5" i="5" l="1"/>
  <c r="AC5" i="7"/>
  <c r="V5" i="10"/>
  <c r="C5" i="11"/>
  <c r="BI5" i="1"/>
  <c r="AQ5" i="8"/>
  <c r="AP4" i="1"/>
  <c r="T4" i="1" s="1"/>
  <c r="I5" i="1" s="1"/>
  <c r="G4" i="2"/>
  <c r="I4" i="11"/>
  <c r="O4" i="7"/>
  <c r="T4" i="8"/>
  <c r="W4" i="8" s="1"/>
  <c r="V4" i="8"/>
  <c r="BM136" i="1"/>
  <c r="P4" i="7"/>
  <c r="F4" i="9"/>
  <c r="AR4" i="1"/>
  <c r="V4" i="1" s="1"/>
  <c r="K5" i="1" s="1"/>
  <c r="AR5" i="1" s="1"/>
  <c r="V5" i="1" s="1"/>
  <c r="K6" i="1" s="1"/>
  <c r="AR6" i="1" s="1"/>
  <c r="C4" i="9"/>
  <c r="BL4" i="1"/>
  <c r="E41" i="4"/>
  <c r="E40" i="4"/>
  <c r="AO5" i="1" l="1"/>
  <c r="BJ5" i="1"/>
  <c r="Z4" i="2"/>
  <c r="C4" i="8"/>
  <c r="C5" i="9"/>
  <c r="BL5" i="1"/>
  <c r="L24" i="11"/>
  <c r="AV24" i="8"/>
  <c r="L25" i="11"/>
  <c r="AV25" i="8"/>
  <c r="L27" i="11"/>
  <c r="AV27" i="8"/>
  <c r="L26" i="11"/>
  <c r="AV26" i="8"/>
  <c r="BL6" i="1"/>
  <c r="V6" i="1"/>
  <c r="K7" i="1" s="1"/>
  <c r="AR7" i="1" s="1"/>
  <c r="C6" i="9"/>
  <c r="E18" i="4"/>
  <c r="AA5" i="8" l="1"/>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6"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B65" i="4"/>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c r="C6" i="8" l="1"/>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M21" i="8" l="1"/>
  <c r="CG21" i="8"/>
  <c r="M21" i="2"/>
  <c r="DF21" i="8"/>
  <c r="G21" i="1" s="1"/>
  <c r="N21" i="8" s="1"/>
  <c r="AA9" i="8"/>
  <c r="H9" i="11" s="1"/>
  <c r="P21" i="8" l="1"/>
  <c r="R21" i="8" s="1"/>
  <c r="AB9" i="7"/>
  <c r="AJ9" i="7" s="1"/>
  <c r="AW9" i="8"/>
  <c r="B9" i="8"/>
  <c r="D9" i="2" s="1"/>
  <c r="U9" i="2" s="1"/>
  <c r="W8" i="2" s="1"/>
  <c r="E9" i="2"/>
  <c r="L9" i="2" s="1"/>
  <c r="C9" i="2" l="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CM22" i="8" l="1"/>
  <c r="M22" i="2"/>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CM23" i="8" l="1"/>
  <c r="M23" i="2"/>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CM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M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CM26" i="8" s="1"/>
  <c r="AQ14" i="8"/>
  <c r="J13" i="11"/>
  <c r="P13" i="7" s="1"/>
  <c r="O13" i="7"/>
  <c r="I13" i="11"/>
  <c r="BI14" i="1"/>
  <c r="V14" i="10"/>
  <c r="AK14" i="5"/>
  <c r="AC14" i="7"/>
  <c r="C14" i="11"/>
  <c r="C13" i="8"/>
  <c r="BJ14" i="1"/>
  <c r="AA14" i="8" l="1"/>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CM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V16" i="10"/>
  <c r="C16" i="11"/>
  <c r="AC16" i="7"/>
  <c r="AK16" i="5"/>
  <c r="AQ16" i="8"/>
  <c r="BI16" i="1"/>
  <c r="C15" i="8"/>
  <c r="F15" i="9"/>
  <c r="P15" i="7"/>
  <c r="AO16" i="8" l="1"/>
  <c r="E28" i="8" s="1"/>
  <c r="CM28" i="8" s="1"/>
  <c r="BJ16" i="1"/>
  <c r="Y15" i="2"/>
  <c r="X15" i="2" s="1"/>
  <c r="M28" i="2" l="1"/>
  <c r="CG28" i="8"/>
  <c r="P28" i="8" s="1"/>
  <c r="R28" i="8" s="1"/>
  <c r="DF28" i="8"/>
  <c r="G28" i="1" s="1"/>
  <c r="N28" i="8" s="1"/>
  <c r="AA16" i="8"/>
  <c r="B16" i="8" s="1"/>
  <c r="D16" i="2" s="1"/>
  <c r="E16" i="2" l="1"/>
  <c r="L16" i="2" s="1"/>
  <c r="AW16" i="8"/>
  <c r="H16" i="11"/>
  <c r="AB16" i="7"/>
  <c r="AJ16" i="7" s="1"/>
  <c r="U16" i="2"/>
  <c r="W15" i="2" s="1"/>
  <c r="C16" i="2" l="1"/>
  <c r="S16" i="8" s="1"/>
  <c r="F16" i="2" l="1"/>
  <c r="AP16" i="1" s="1"/>
  <c r="H16" i="2"/>
  <c r="F16" i="1"/>
  <c r="I16" i="2"/>
  <c r="AA16" i="1" l="1"/>
  <c r="S16" i="1" s="1"/>
  <c r="H17" i="1" s="1"/>
  <c r="I16" i="11"/>
  <c r="O16" i="7"/>
  <c r="T16" i="8"/>
  <c r="W16" i="8" s="1"/>
  <c r="V16" i="8"/>
  <c r="J16" i="11"/>
  <c r="T16" i="1"/>
  <c r="I17" i="1" s="1"/>
  <c r="AO17" i="1" s="1"/>
  <c r="G16" i="2"/>
  <c r="Z16" i="2" s="1"/>
  <c r="AO17" i="8" s="1"/>
  <c r="E29" i="8" s="1"/>
  <c r="CM29" i="8" s="1"/>
  <c r="E30" i="8" l="1"/>
  <c r="CM30" i="8" s="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M39" i="2"/>
  <c r="CG39" i="8"/>
  <c r="P39" i="8" s="1"/>
  <c r="R39" i="8" s="1"/>
  <c r="DF39" i="8"/>
  <c r="G39" i="1" s="1"/>
  <c r="N39" i="8" s="1"/>
  <c r="U18" i="2"/>
  <c r="W17" i="2" s="1"/>
  <c r="E41" i="8" l="1"/>
  <c r="CG40" i="8"/>
  <c r="M40" i="2"/>
  <c r="P40" i="8"/>
  <c r="R40" i="8" s="1"/>
  <c r="DF40" i="8"/>
  <c r="G40" i="1" s="1"/>
  <c r="N40" i="8" s="1"/>
  <c r="C18" i="2"/>
  <c r="S18" i="8" s="1"/>
  <c r="E42" i="8" l="1"/>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B39" i="4" l="1"/>
  <c r="E53" i="8"/>
  <c r="CG52" i="8"/>
  <c r="P52" i="8" s="1"/>
  <c r="R52" i="8" s="1"/>
  <c r="M52" i="2"/>
  <c r="DF52" i="8"/>
  <c r="G52" i="1" s="1"/>
  <c r="D20" i="2"/>
  <c r="H20" i="11"/>
  <c r="E20" i="2"/>
  <c r="L20" i="2" s="1"/>
  <c r="AW20" i="8"/>
  <c r="AB20" i="7"/>
  <c r="AJ20" i="7" s="1"/>
  <c r="N52" i="8" l="1"/>
  <c r="B59" i="4"/>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C28" i="11" l="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I39" i="11"/>
  <c r="O39" i="7"/>
  <c r="AA40" i="8" l="1"/>
  <c r="C39" i="8"/>
  <c r="BJ40" i="1"/>
  <c r="F39" i="9"/>
  <c r="P39" i="7"/>
  <c r="B40" i="8" l="1"/>
  <c r="Y39" i="2"/>
  <c r="X39" i="2" s="1"/>
  <c r="D40" i="2" l="1"/>
  <c r="E40" i="2"/>
  <c r="L40" i="2" s="1"/>
  <c r="H40" i="11"/>
  <c r="AW40" i="8"/>
  <c r="AB40" i="7"/>
  <c r="U40" i="2" l="1"/>
  <c r="W39" i="2" s="1"/>
  <c r="C40" i="2" l="1"/>
  <c r="S40" i="8" l="1"/>
  <c r="H40" i="1"/>
  <c r="I40" i="2"/>
  <c r="H40" i="2"/>
  <c r="F40" i="2"/>
  <c r="AP40" i="1" s="1"/>
  <c r="F40" i="1"/>
  <c r="I58" i="4" l="1"/>
  <c r="J58" i="4"/>
  <c r="C40" i="11"/>
  <c r="AQ40" i="8"/>
  <c r="AC40" i="7"/>
  <c r="AJ40" i="7" s="1"/>
  <c r="BI40" i="1"/>
  <c r="V40" i="10"/>
  <c r="AK40" i="5"/>
  <c r="O40" i="7"/>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I59" i="4" l="1"/>
  <c r="J59" i="4"/>
  <c r="AA43" i="8"/>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B64" i="4"/>
  <c r="E64" i="8"/>
  <c r="BJ52" i="1"/>
  <c r="F51" i="9"/>
  <c r="P51" i="7"/>
  <c r="C51" i="8"/>
  <c r="CG64" i="8" l="1"/>
  <c r="M64" i="2"/>
  <c r="DF64" i="8"/>
  <c r="G64" i="1" s="1"/>
  <c r="N64" i="8" s="1"/>
  <c r="AA52" i="8"/>
  <c r="Y51" i="2"/>
  <c r="X51" i="2" s="1"/>
  <c r="B52" i="8" l="1"/>
  <c r="D52" i="2" s="1"/>
  <c r="F44" i="4"/>
  <c r="P64" i="8"/>
  <c r="R64" i="8" s="1"/>
  <c r="E52" i="2"/>
  <c r="L52" i="2" s="1"/>
  <c r="AB52" i="7"/>
  <c r="AW52" i="8"/>
  <c r="H52" i="11"/>
  <c r="U52" i="2" l="1"/>
  <c r="W51" i="2" s="1"/>
  <c r="C52" i="2" l="1"/>
  <c r="B57" i="4" s="1"/>
  <c r="F52" i="1" l="1"/>
  <c r="S52" i="8"/>
  <c r="V52" i="8" s="1"/>
  <c r="H52" i="1"/>
  <c r="F52" i="2"/>
  <c r="H52" i="2"/>
  <c r="I52" i="2"/>
  <c r="AA52" i="1" s="1"/>
  <c r="S52" i="1" s="1"/>
  <c r="B62" i="4" s="1"/>
  <c r="I60" i="4" l="1"/>
  <c r="J60" i="4"/>
  <c r="BI52" i="1"/>
  <c r="B63" i="4"/>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s="1"/>
  <c r="W58" i="2" l="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CG76" i="8"/>
  <c r="M76" i="2"/>
  <c r="E77" i="8"/>
  <c r="B65" i="8"/>
  <c r="D65" i="2" s="1"/>
  <c r="H65" i="11"/>
  <c r="E65" i="2"/>
  <c r="L65" i="2" s="1"/>
  <c r="AB65" i="7"/>
  <c r="AJ65" i="7" s="1"/>
  <c r="AW65" i="8"/>
  <c r="U65" i="2" l="1"/>
  <c r="W64" i="2" s="1"/>
  <c r="C98" i="4"/>
  <c r="C39" i="4" s="1"/>
  <c r="C93" i="4"/>
  <c r="C42" i="4" s="1"/>
  <c r="E42" i="4" s="1"/>
  <c r="P76" i="8"/>
  <c r="R76" i="8" s="1"/>
  <c r="CM77" i="8"/>
  <c r="F39" i="4"/>
  <c r="H39" i="4" s="1"/>
  <c r="H43" i="4" s="1"/>
  <c r="J52" i="4" s="1"/>
  <c r="DF77" i="8"/>
  <c r="G77" i="1" s="1"/>
  <c r="N77" i="8" s="1"/>
  <c r="CG77" i="8"/>
  <c r="M77" i="2"/>
  <c r="E78" i="8"/>
  <c r="B60" i="4" l="1"/>
  <c r="C43" i="4"/>
  <c r="I51" i="4" s="1"/>
  <c r="E39" i="4"/>
  <c r="E43" i="4" s="1"/>
  <c r="B61" i="4" s="1"/>
  <c r="CM78" i="8"/>
  <c r="P77" i="8"/>
  <c r="R77" i="8" s="1"/>
  <c r="F43" i="4"/>
  <c r="I52" i="4" s="1"/>
  <c r="M78" i="2"/>
  <c r="E79" i="8"/>
  <c r="DF78" i="8"/>
  <c r="G78" i="1" s="1"/>
  <c r="N78" i="8" s="1"/>
  <c r="CG78" i="8"/>
  <c r="C65" i="2"/>
  <c r="S65" i="8" s="1"/>
  <c r="J51"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s="1"/>
  <c r="W71" i="2" l="1"/>
  <c r="E84" i="8" l="1"/>
  <c r="C72" i="2"/>
  <c r="S72" i="8" s="1"/>
  <c r="CM84" i="8" l="1"/>
  <c r="M84" i="2"/>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s="1"/>
  <c r="P92" i="8" l="1"/>
  <c r="R92" i="8" s="1"/>
  <c r="DF93" i="8"/>
  <c r="G93" i="1" s="1"/>
  <c r="N93" i="8" s="1"/>
  <c r="CG93" i="8"/>
  <c r="M93" i="2"/>
  <c r="E94" i="8"/>
  <c r="W76" i="2"/>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s="1"/>
  <c r="DF114" i="8" l="1"/>
  <c r="G114" i="1" s="1"/>
  <c r="N114" i="8" s="1"/>
  <c r="CG114" i="8"/>
  <c r="M114" i="2"/>
  <c r="E115" i="8"/>
  <c r="W79" i="2"/>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s="1"/>
  <c r="P127" i="8" l="1"/>
  <c r="R127" i="8" s="1"/>
  <c r="DF128" i="8"/>
  <c r="G128" i="1" s="1"/>
  <c r="N128" i="8" s="1"/>
  <c r="M128" i="2"/>
  <c r="CG128" i="8"/>
  <c r="E129" i="8"/>
  <c r="W81" i="2"/>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s="1"/>
  <c r="W108" i="2" l="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s="1"/>
  <c r="W110" i="2" l="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s="1"/>
  <c r="W118" i="2" l="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s="1"/>
  <c r="W128" i="2" l="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<sst xmlns="http://schemas.openxmlformats.org/spreadsheetml/2006/main" count="3095" uniqueCount="1165">
  <si>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</si>
  <si>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</si>
  <si>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</si>
  <si>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</si>
  <si>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</si>
  <si>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</si>
  <si>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</si>
  <si>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</si>
  <si>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</si>
  <si>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</si>
  <si>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</si>
  <si>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</si>
  <si>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</si>
  <si>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</si>
  <si>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</si>
  <si>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</si>
  <si>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</si>
  <si>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</si>
  <si>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</si>
  <si>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</si>
  <si>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</si>
  <si>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</si>
  <si>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</si>
  <si>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</si>
  <si>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</si>
  <si>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</si>
  <si>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</si>
  <si>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</si>
  <si>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</si>
  <si>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</si>
  <si>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</si>
  <si>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</si>
  <si>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</si>
  <si>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</si>
  <si>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</si>
  <si>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</si>
  <si>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</si>
  <si>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</si>
  <si>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</si>
  <si>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</si>
  <si>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</si>
  <si>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</si>
  <si>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</si>
  <si>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</si>
  <si>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</si>
  <si>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</si>
  <si>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</si>
  <si>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</si>
  <si>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</si>
  <si>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</si>
  <si>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</si>
  <si>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</si>
  <si>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</si>
  <si>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</si>
  <si>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</si>
  <si>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</si>
  <si>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</si>
  <si>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</si>
  <si>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</si>
  <si>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</si>
  <si>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</si>
  <si>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</si>
  <si>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</si>
  <si>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</si>
  <si>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</si>
  <si>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</si>
  <si>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</si>
  <si>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</si>
  <si>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</si>
  <si>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</si>
  <si>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</si>
  <si>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</si>
  <si>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</si>
  <si>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</si>
  <si>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</si>
  <si>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</si>
  <si>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</si>
  <si>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</si>
  <si>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</si>
  <si>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</si>
  <si>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</si>
  <si>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</si>
  <si>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</si>
  <si>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</si>
  <si>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</si>
  <si>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</si>
  <si>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</si>
  <si>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</si>
  <si>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</si>
  <si>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</si>
  <si>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</si>
  <si>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</si>
  <si>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</si>
  <si>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</si>
  <si>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</si>
  <si>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</si>
  <si>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</si>
  <si>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</si>
  <si>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</si>
  <si>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</si>
  <si>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</si>
  <si>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</si>
  <si>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</si>
  <si>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</si>
  <si>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</si>
  <si>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</si>
  <si>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</si>
  <si>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</si>
  <si>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</si>
  <si>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</si>
  <si>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</si>
  <si>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</si>
  <si>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</si>
  <si>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</si>
  <si>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</si>
  <si>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</si>
  <si>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</si>
  <si>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</si>
  <si>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</si>
  <si>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</si>
  <si>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</si>
  <si>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</si>
  <si>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</si>
  <si>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</si>
  <si>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</si>
  <si>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</si>
  <si>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</si>
  <si>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</si>
  <si>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</si>
  <si>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</si>
  <si>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</si>
  <si>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</si>
  <si>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</si>
  <si>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</si>
  <si>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</si>
  <si>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</si>
  <si>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</si>
  <si>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</si>
  <si>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</si>
  <si>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</si>
  <si>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</si>
  <si>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</si>
  <si>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</si>
  <si>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</si>
  <si>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</si>
  <si>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</si>
  <si>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</si>
  <si>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</si>
  <si>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</si>
  <si>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</si>
  <si>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</si>
  <si>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</si>
  <si>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</si>
  <si>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</si>
  <si>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</si>
  <si>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</si>
  <si>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</si>
  <si>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</si>
  <si>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</si>
  <si>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</si>
  <si>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</si>
  <si>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</si>
  <si>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</si>
  <si>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</si>
  <si>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</si>
  <si>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</si>
  <si>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</si>
  <si>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</si>
  <si>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</si>
  <si>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</si>
  <si>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</si>
  <si>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</si>
  <si>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</si>
  <si>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</si>
  <si>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</si>
  <si>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</si>
  <si>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</si>
  <si>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</si>
  <si>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</si>
  <si>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</si>
  <si>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</si>
  <si>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</si>
  <si>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</si>
  <si>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</si>
  <si>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</si>
  <si>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</si>
  <si>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</si>
  <si>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</si>
  <si>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</si>
  <si>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</si>
  <si>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</si>
  <si>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</si>
  <si>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</si>
  <si>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</si>
  <si>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</si>
  <si>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</si>
  <si>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</si>
  <si>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</si>
  <si>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</si>
  <si>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</si>
  <si>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</si>
  <si>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</si>
  <si>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</si>
  <si>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</si>
  <si>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</si>
  <si>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</si>
  <si>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</si>
  <si>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</si>
  <si>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</si>
  <si>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</si>
  <si>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</si>
  <si>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</si>
  <si>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</si>
  <si>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</si>
  <si>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</si>
  <si>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</si>
  <si>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</si>
  <si>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</si>
  <si>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</si>
  <si>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</si>
  <si>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</si>
  <si>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</si>
  <si>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</si>
  <si>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</si>
  <si>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</si>
  <si>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</si>
  <si>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</si>
  <si>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</si>
  <si>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</si>
  <si>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</si>
  <si>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</si>
  <si>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</si>
  <si>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</si>
  <si>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</si>
  <si>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</si>
  <si>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</si>
  <si>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</si>
  <si>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</si>
  <si>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</si>
  <si>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</si>
  <si>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</si>
  <si>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</si>
  <si>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</si>
  <si>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</si>
  <si>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</si>
  <si>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</si>
  <si>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</si>
  <si>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</si>
  <si>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</si>
  <si>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</si>
  <si>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</si>
  <si>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</si>
  <si>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</si>
  <si>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</si>
  <si>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</si>
  <si>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</si>
  <si>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</si>
  <si>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</si>
  <si>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</si>
  <si>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</si>
  <si>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</si>
  <si>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</si>
  <si>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</si>
  <si>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</si>
  <si>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</si>
  <si>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</si>
  <si>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</si>
  <si>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</si>
  <si>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</si>
  <si>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</si>
  <si>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</si>
  <si>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</si>
  <si>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</si>
  <si>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</si>
  <si>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</si>
  <si>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</si>
  <si>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</si>
  <si>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</si>
  <si>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</si>
  <si>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</si>
  <si>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</si>
  <si>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</si>
  <si>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</si>
  <si>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</si>
  <si>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</si>
  <si>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</si>
  <si>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</si>
  <si>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</si>
  <si>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</si>
  <si>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</si>
  <si>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</si>
  <si>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</si>
  <si>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</si>
  <si>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</si>
  <si>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</si>
  <si>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</si>
  <si>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</si>
  <si>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</si>
  <si>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</si>
  <si>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</si>
  <si>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</si>
  <si>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</si>
  <si>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</si>
  <si>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</si>
  <si>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</si>
  <si>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</si>
  <si>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</si>
  <si>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</si>
  <si>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</si>
  <si>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</si>
  <si>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</si>
  <si>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</si>
  <si>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</si>
  <si>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</si>
  <si>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</si>
  <si>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</si>
  <si>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</si>
  <si>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</si>
  <si>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</si>
  <si>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</si>
  <si>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</si>
  <si>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</si>
  <si>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</si>
  <si>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</si>
  <si>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</si>
  <si>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</si>
  <si>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</si>
  <si>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</si>
  <si>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</si>
  <si>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</si>
  <si>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</si>
  <si>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</si>
  <si>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</si>
  <si>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</si>
  <si>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</si>
  <si>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</si>
  <si>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</si>
  <si>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</si>
  <si>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</si>
  <si>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</si>
  <si>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</si>
  <si>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</si>
  <si>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</si>
  <si>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</si>
  <si>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</si>
  <si>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</si>
  <si>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</si>
  <si>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</si>
  <si>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</si>
  <si>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</si>
  <si>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</si>
  <si>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</si>
  <si>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</si>
  <si>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</si>
  <si>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</si>
  <si>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</si>
  <si>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</si>
  <si>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</si>
  <si>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</si>
  <si>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</si>
  <si>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</si>
  <si>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</si>
  <si>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</si>
  <si>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</si>
  <si>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</si>
  <si>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</si>
  <si>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</si>
  <si>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</si>
  <si>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</si>
  <si>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</si>
  <si>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</si>
  <si>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</si>
  <si>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</si>
  <si>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</si>
  <si>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</si>
  <si>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</si>
  <si>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</si>
  <si>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</si>
  <si>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</si>
  <si>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</si>
  <si>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</si>
  <si>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</si>
  <si>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</si>
  <si>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</si>
  <si>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</si>
  <si>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</si>
  <si>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</si>
  <si>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</si>
  <si>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</si>
  <si>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</si>
  <si>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</si>
  <si>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</si>
  <si>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</si>
  <si>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</si>
  <si>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</si>
  <si>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</si>
  <si>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</si>
  <si>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</si>
  <si>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</si>
  <si>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</si>
  <si>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</si>
  <si>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</si>
  <si>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</si>
  <si>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</si>
  <si>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</si>
  <si>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</si>
  <si>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</si>
  <si>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</si>
  <si>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</si>
  <si>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</si>
  <si>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</si>
  <si>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</si>
  <si>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</si>
  <si>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</si>
  <si>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</si>
  <si>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</si>
  <si>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</si>
  <si>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</si>
  <si>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</si>
  <si>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</si>
  <si>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</si>
  <si>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</si>
  <si>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</si>
  <si>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</si>
  <si>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</si>
  <si>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</si>
  <si>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</si>
  <si>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</si>
  <si>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</si>
  <si>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</si>
  <si>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</si>
  <si>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</si>
  <si>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</si>
  <si>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</si>
  <si>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</si>
  <si>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</si>
  <si>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</si>
  <si>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</si>
  <si>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</si>
  <si>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</si>
  <si>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</si>
  <si>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</si>
  <si>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</si>
  <si>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</si>
  <si>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</si>
  <si>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</si>
  <si>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</si>
  <si>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</si>
  <si>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</si>
  <si>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</si>
  <si>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</si>
  <si>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</si>
  <si>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</si>
  <si>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</si>
  <si>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</si>
  <si>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</si>
  <si>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</si>
  <si>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</si>
  <si>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</si>
  <si>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</si>
  <si>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</si>
  <si>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</si>
  <si>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</si>
  <si>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</si>
  <si>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</si>
  <si>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</si>
  <si>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</si>
  <si>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</si>
  <si>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</si>
  <si>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</si>
  <si>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</si>
  <si>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</si>
  <si>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</si>
  <si>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</si>
  <si>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</si>
  <si>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</si>
  <si>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</si>
  <si>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</si>
  <si>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</si>
  <si>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</si>
  <si>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</si>
  <si>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</si>
  <si>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</si>
  <si>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</si>
  <si>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</si>
  <si>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</si>
  <si>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</si>
  <si>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</si>
  <si>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</si>
  <si>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</si>
  <si>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</si>
  <si>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</si>
  <si>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</si>
  <si>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</si>
  <si>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</si>
  <si>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</si>
  <si>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</si>
  <si>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</si>
  <si>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</si>
  <si>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</si>
  <si>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</si>
  <si>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</si>
  <si>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</si>
  <si>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</si>
  <si>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</si>
  <si>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</si>
  <si>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</si>
  <si>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</si>
  <si>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</si>
  <si>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</si>
  <si>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</si>
  <si>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</si>
  <si>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</si>
  <si>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</si>
  <si>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</si>
  <si>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</si>
  <si>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</si>
  <si>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</si>
  <si>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</si>
  <si>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</si>
  <si>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</si>
  <si>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</si>
  <si>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</si>
  <si>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</si>
  <si>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</si>
  <si>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</si>
  <si>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</si>
  <si>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</si>
  <si>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</si>
  <si>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</si>
  <si>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</si>
  <si>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</si>
  <si>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</si>
  <si>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</si>
  <si>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</si>
  <si>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</si>
  <si>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</si>
  <si>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</si>
  <si>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</si>
  <si>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</si>
  <si>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</si>
  <si>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</si>
  <si>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</si>
  <si>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</si>
  <si>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</si>
  <si>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</si>
  <si>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</si>
  <si>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</si>
  <si>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</si>
  <si>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</si>
  <si>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</si>
  <si>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</si>
  <si>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</si>
  <si>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</si>
  <si>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</si>
  <si>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</si>
  <si>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</si>
  <si>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</si>
  <si>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</si>
  <si>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</si>
  <si>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</si>
  <si>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</si>
  <si>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</si>
  <si>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</si>
  <si>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</si>
  <si>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</si>
  <si>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</si>
  <si>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</si>
  <si>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</si>
  <si>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</si>
  <si>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</si>
  <si>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</si>
  <si>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</si>
  <si>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</si>
  <si>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</si>
  <si>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</si>
  <si>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</si>
  <si>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</si>
  <si>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</si>
  <si>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</si>
  <si>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</si>
  <si>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</si>
  <si>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</si>
  <si>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</si>
  <si>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</si>
  <si>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</si>
  <si>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</si>
  <si>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</si>
  <si>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</si>
  <si>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</si>
  <si>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</si>
  <si>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</si>
  <si>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</si>
  <si>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</si>
  <si>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</si>
  <si>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</si>
  <si>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</si>
  <si>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</si>
  <si>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</si>
  <si>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</si>
  <si>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</si>
  <si>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</si>
  <si>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</si>
  <si>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</si>
  <si>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</si>
  <si>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</si>
  <si>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</si>
  <si>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</si>
  <si>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</si>
  <si>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</si>
  <si>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</si>
  <si>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</si>
  <si>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</si>
  <si>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</si>
  <si>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</si>
  <si>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</si>
  <si>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</si>
  <si>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</si>
  <si>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</si>
  <si>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</si>
  <si>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</si>
  <si>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</si>
  <si>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</si>
  <si>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</si>
  <si>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</si>
  <si>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</si>
  <si>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</si>
  <si>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</si>
  <si>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</si>
  <si>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</si>
  <si>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</si>
  <si>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</si>
  <si>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</si>
  <si>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</si>
  <si>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</si>
  <si>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</si>
  <si>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</si>
  <si>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</si>
  <si>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</si>
  <si>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</si>
  <si>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</si>
  <si>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</si>
  <si>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</si>
  <si>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</si>
  <si>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</si>
  <si>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</si>
  <si>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</si>
  <si>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</si>
  <si>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</si>
  <si>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</si>
  <si>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</si>
  <si>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</si>
  <si>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</si>
  <si>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</si>
  <si>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</si>
  <si>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</si>
  <si>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</si>
  <si>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</si>
  <si>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</si>
  <si>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</si>
  <si>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</si>
  <si>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</si>
  <si>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</si>
  <si>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</si>
  <si>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</si>
  <si>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</si>
  <si>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</si>
  <si>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</si>
  <si>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</si>
  <si>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</si>
  <si>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</si>
  <si>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</si>
  <si>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</si>
  <si>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</si>
  <si>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</si>
  <si>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</si>
  <si>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</si>
  <si>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</si>
  <si>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</si>
  <si>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</si>
  <si>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</si>
  <si>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</si>
  <si>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</si>
  <si>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</si>
  <si>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</si>
  <si>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</si>
  <si>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</si>
  <si>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</si>
  <si>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</si>
  <si>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</si>
  <si>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</si>
  <si>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</si>
  <si>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</si>
  <si>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</si>
  <si>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</si>
  <si>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</si>
  <si>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</si>
  <si>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</si>
  <si>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</si>
  <si>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</si>
  <si>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</si>
  <si>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</si>
  <si>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</si>
  <si>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</si>
  <si>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</si>
  <si>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</si>
  <si>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</si>
  <si>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</si>
  <si>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</si>
  <si>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</si>
  <si>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</si>
  <si>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</si>
  <si>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</si>
  <si>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</si>
  <si>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</si>
  <si>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</si>
  <si>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</si>
  <si>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</si>
  <si>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</si>
  <si>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</si>
  <si>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</si>
  <si>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</si>
  <si>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</si>
  <si>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</si>
  <si>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</si>
  <si>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</si>
  <si>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</si>
  <si>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</si>
  <si>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</si>
  <si>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</si>
  <si>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</si>
  <si>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</si>
  <si>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</si>
  <si>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</si>
  <si>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</si>
  <si>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</si>
  <si>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</si>
  <si>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</si>
  <si>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</si>
  <si>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</si>
  <si>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</si>
  <si>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</si>
  <si>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</si>
  <si>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</si>
  <si>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</si>
  <si>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</si>
  <si>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</si>
  <si>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</si>
  <si>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</si>
  <si>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</si>
  <si>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</si>
  <si>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</si>
  <si>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</si>
  <si>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</si>
  <si>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</si>
  <si>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</si>
  <si>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</si>
  <si>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</si>
  <si>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</si>
  <si>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</si>
  <si>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</si>
  <si>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</si>
  <si>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</si>
  <si>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</si>
  <si>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</si>
  <si>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</si>
  <si>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</si>
  <si>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</si>
  <si>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</si>
  <si>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</si>
  <si>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</si>
  <si>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</si>
  <si>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</si>
  <si>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</si>
  <si>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</si>
  <si>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</si>
  <si>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</si>
  <si>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</si>
  <si>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</si>
  <si>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</si>
  <si>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</si>
  <si>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</si>
  <si>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</si>
  <si>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</si>
  <si>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</si>
  <si>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</si>
  <si>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</si>
  <si>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</si>
  <si>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</si>
  <si>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</si>
  <si>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</si>
  <si>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</si>
  <si>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</si>
  <si>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</si>
  <si>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</si>
  <si>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</si>
  <si>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</si>
  <si>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</si>
  <si>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</si>
  <si>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</si>
  <si>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</si>
  <si>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</si>
  <si>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</si>
  <si>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</si>
  <si>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</si>
  <si>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</si>
  <si>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</si>
  <si>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</si>
  <si>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</si>
  <si>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</si>
  <si>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</si>
  <si>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</si>
  <si>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</si>
  <si>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</si>
  <si>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</si>
  <si>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</si>
  <si>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</si>
  <si>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</si>
  <si>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</si>
  <si>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</si>
  <si>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</si>
  <si>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</si>
  <si>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</si>
  <si>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</si>
  <si>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</si>
  <si>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</si>
  <si>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</si>
  <si>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</si>
  <si>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</si>
  <si>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</si>
  <si>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</si>
  <si>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</si>
  <si>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</si>
  <si>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</si>
  <si>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</si>
  <si>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</si>
  <si>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</si>
  <si>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</si>
  <si>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</si>
  <si>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</si>
  <si>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</si>
  <si>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</si>
  <si>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</si>
  <si>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</si>
  <si>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</si>
  <si>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</si>
  <si>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</si>
  <si>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</si>
  <si>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</si>
  <si>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</si>
  <si>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</si>
  <si>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</si>
  <si>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</si>
  <si>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</si>
  <si>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</si>
  <si>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</si>
  <si>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</si>
  <si>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</si>
  <si>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</si>
  <si>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</si>
  <si>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</si>
  <si>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</si>
  <si>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</si>
  <si>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</si>
  <si>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</si>
  <si>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</si>
  <si>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</si>
  <si>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</si>
  <si>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</si>
  <si>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</si>
  <si>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</si>
  <si>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</si>
  <si>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</si>
  <si>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</si>
  <si>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</si>
  <si>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</si>
  <si>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</si>
  <si>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</si>
  <si>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</si>
  <si>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</si>
  <si>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</si>
  <si>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</si>
  <si>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</si>
  <si>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</si>
  <si>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</si>
  <si>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</si>
  <si>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</si>
  <si>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</si>
  <si>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</si>
  <si>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</si>
  <si>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</si>
  <si>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</si>
  <si>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</si>
  <si>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</si>
  <si>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</si>
  <si>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</si>
  <si>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</si>
  <si>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</si>
  <si>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</si>
  <si>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</si>
  <si>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</si>
  <si>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</si>
  <si>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</si>
  <si>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</si>
  <si>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</si>
  <si>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</si>
  <si>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</si>
  <si>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</si>
  <si>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</si>
  <si>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</si>
  <si>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</si>
  <si>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</si>
  <si>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</si>
  <si>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</si>
  <si>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</si>
  <si>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</si>
  <si>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</si>
  <si>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</si>
  <si>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</si>
  <si>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</si>
  <si>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</si>
  <si>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</si>
  <si>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</si>
  <si>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</si>
  <si>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</si>
  <si>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</si>
  <si>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</si>
  <si>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</si>
  <si>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</si>
  <si>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</si>
  <si>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</si>
  <si>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</si>
  <si>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</si>
  <si>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</si>
  <si>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</si>
  <si>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</si>
  <si>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</si>
  <si>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</si>
  <si>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</si>
  <si>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</si>
  <si>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</si>
  <si>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</si>
  <si>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</si>
  <si>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</si>
  <si>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</si>
  <si>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</si>
  <si>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</si>
  <si>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</si>
  <si>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</si>
  <si>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</si>
  <si>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</si>
  <si>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</si>
  <si>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</si>
  <si>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</si>
  <si>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</si>
  <si>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</si>
  <si>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</si>
  <si>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</si>
  <si>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</si>
  <si>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</si>
  <si>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</si>
  <si>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</si>
  <si>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</si>
  <si>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</si>
  <si>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</si>
  <si>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</si>
  <si>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</si>
  <si>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</si>
  <si>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</si>
  <si>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</si>
  <si>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</si>
  <si>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</si>
  <si>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</si>
  <si>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</si>
  <si>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</si>
  <si>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</si>
  <si>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</si>
  <si>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</si>
  <si>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</si>
  <si>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</si>
  <si>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</si>
  <si>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</si>
  <si>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</si>
  <si>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</si>
  <si>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</si>
  <si>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</si>
  <si>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</si>
  <si>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</si>
  <si>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</si>
  <si>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</si>
  <si>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</si>
  <si>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</si>
  <si>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</si>
  <si>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</si>
  <si>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</si>
  <si>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</si>
  <si>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</si>
  <si>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</si>
  <si>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</si>
  <si>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</si>
  <si>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</si>
  <si>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</si>
  <si>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</si>
  <si>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</si>
  <si>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</si>
  <si>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</si>
  <si>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</si>
  <si>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</si>
  <si>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</si>
  <si>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</si>
  <si>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</si>
  <si>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</si>
  <si>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</si>
  <si>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</si>
  <si>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</si>
  <si>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</si>
  <si>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</si>
  <si>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</si>
  <si>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</si>
  <si>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</si>
  <si>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</si>
  <si>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</si>
  <si>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</si>
  <si>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</si>
  <si>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</si>
  <si>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</si>
  <si>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</si>
  <si>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</si>
  <si>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</si>
  <si>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</si>
  <si>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</si>
  <si>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</si>
  <si>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</si>
  <si>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</si>
  <si>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</si>
  <si>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</si>
  <si>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</si>
  <si>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</si>
  <si>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</si>
  <si>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</si>
  <si>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</si>
  <si>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</si>
  <si>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</si>
  <si>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</si>
  <si>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</si>
  <si>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</si>
  <si>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</si>
  <si>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</si>
  <si>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</si>
  <si>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</si>
  <si>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</si>
  <si>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</si>
  <si>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</si>
  <si>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</si>
  <si>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</si>
  <si>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</si>
  <si>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</si>
  <si>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</si>
  <si>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</si>
  <si>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</si>
  <si>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</si>
  <si>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</si>
  <si>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</si>
  <si>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</si>
  <si>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</si>
  <si>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</si>
  <si>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</si>
  <si>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</si>
  <si>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</si>
  <si>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</si>
  <si>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</si>
  <si>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</si>
  <si>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</si>
  <si>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</si>
  <si>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</si>
  <si>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</si>
  <si>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</si>
  <si>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</si>
  <si>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</si>
  <si>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</si>
  <si>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</si>
  <si>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</si>
  <si>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</si>
  <si>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</si>
  <si>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</si>
  <si>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</si>
  <si>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</si>
  <si>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</si>
  <si>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</si>
  <si>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</si>
  <si>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</si>
  <si>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</si>
  <si>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</si>
  <si>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</si>
  <si>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</si>
  <si>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</si>
  <si>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</si>
  <si>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</si>
  <si>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</si>
  <si>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</si>
  <si>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</si>
  <si>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</si>
  <si>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</si>
  <si>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</si>
  <si>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</si>
  <si>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</si>
  <si>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</si>
  <si>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</si>
  <si>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</si>
  <si>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</si>
  <si>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</si>
  <si>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</si>
  <si>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</si>
  <si>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</si>
  <si>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</si>
  <si>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</si>
  <si>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</si>
  <si>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</si>
  <si>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</si>
  <si>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</si>
  <si>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</si>
  <si>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</si>
  <si>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</si>
  <si>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</si>
  <si>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</si>
  <si>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</si>
  <si>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</si>
  <si>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</si>
  <si>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</si>
  <si>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</si>
  <si>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</si>
  <si>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</si>
  <si>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</si>
  <si>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</si>
  <si>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</si>
  <si>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</si>
  <si>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</si>
  <si>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</si>
  <si>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</si>
  <si>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</si>
  <si>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</si>
  <si>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</si>
  <si>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Infernal Imp</t>
  </si>
  <si>
    <t>OD Round 46</t>
  </si>
  <si>
    <t xml:space="preserve">Draftees    </t>
  </si>
  <si>
    <t>Assassin</t>
  </si>
  <si>
    <t>Diamond Mine</t>
  </si>
  <si>
    <t>Factory</t>
  </si>
  <si>
    <t>Gryphon Nest</t>
  </si>
  <si>
    <t>Guard Tower</t>
  </si>
  <si>
    <t>Masonry</t>
  </si>
  <si>
    <t>Ore Mine</t>
  </si>
  <si>
    <t>School</t>
  </si>
  <si>
    <t>Shrine</t>
  </si>
  <si>
    <t>Smithy</t>
  </si>
  <si>
    <t>Temple</t>
  </si>
  <si>
    <t>Wizard Guild</t>
  </si>
  <si>
    <r>
      <t xml:space="preserve">You have </t>
    </r>
    <r>
      <rPr>
        <b/>
        <sz val="10"/>
        <rFont val="Arial"/>
        <family val="2"/>
      </rPr>
      <t>350</t>
    </r>
    <r>
      <rPr>
        <sz val="10"/>
        <rFont val="Arial"/>
        <family val="2"/>
      </rPr>
      <t xml:space="preserve"> starting acres to construct:</t>
    </r>
  </si>
  <si>
    <t>Starting Acres</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</si>
  <si>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Begin your sim by filling out your initial construction right here on the Overview page!</t>
    </r>
  </si>
  <si>
    <t>Instructions:</t>
  </si>
  <si>
    <t>Begin by building your starting acres</t>
  </si>
  <si>
    <t>right here on the Overview tab! The</t>
  </si>
  <si>
    <t>sim will automatically import your</t>
  </si>
  <si>
    <t>buildings to start hour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</si>
</sst>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1">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a:t>====== Protection Hour: 0 ======</a:t>
          </a:r>
        </a:p>
        <a:p>
          <a:r>
            <a:rPr lang="en-GB" sz="1100"/>
            <a:t>Construction of 50 Homes, 200 Alchemies, 30 Farms, 40 Lumber Yards, 20 Towers, 10 Diamond Mines started.</a:t>
          </a:r>
        </a:p>
        <a:p>
          <a:endParaRPr lang="en-GB" sz="1100"/>
        </a:p>
        <a:p>
          <a:r>
            <a:rPr lang="en-GB" sz="1100"/>
            <a:t>====== Protection Hour: 1  ( Local Time: 12:00:00 AM 6/7/2025 )  ( Domtime: 12:00:00 AM 6/7/2025 ) ======</a:t>
          </a:r>
        </a:p>
        <a:p>
          <a:r>
            <a:rPr lang="en-GB" sz="1100"/>
            <a:t>Exploration for 60 Plains begun at a cost of 72600 platinum and 300 draftees.</a:t>
          </a:r>
        </a:p>
        <a:p>
          <a:endParaRPr lang="en-GB" sz="1100"/>
        </a:p>
        <a:p>
          <a:r>
            <a:rPr lang="en-GB" sz="1100"/>
            <a:t>====== Protection Hour: 2  ( Local Time: 1:00:00 AM 6/7/2025 )  ( Domtime: 1:00:00 AM 6/7/2025 ) ======</a:t>
          </a:r>
        </a:p>
        <a:p>
          <a:r>
            <a:rPr lang="en-GB" sz="1100"/>
            <a:t>Exploration for 12 Plains begun at a cost of 14520 platinum and 60 draftees.</a:t>
          </a:r>
        </a:p>
        <a:p>
          <a:endParaRPr lang="en-GB" sz="1100"/>
        </a:p>
        <a:p>
          <a:r>
            <a:rPr lang="en-GB" sz="1100"/>
            <a:t>====== Protection Hour: 3  ( Local Time: 2:00:00 AM 6/7/2025 )  ( Domtime: 2:00:00 AM 6/7/2025 ) ======</a:t>
          </a:r>
        </a:p>
        <a:p>
          <a:r>
            <a:rPr lang="en-GB" sz="1100"/>
            <a:t>Your wizards successfully cast Midas Touch at a cost of 875 mana.</a:t>
          </a:r>
        </a:p>
        <a:p>
          <a:r>
            <a:rPr lang="en-GB" sz="1100"/>
            <a:t>Exploration for 12 Plains begun at a cost of 14520 platinum and 60 draftees.</a:t>
          </a:r>
        </a:p>
        <a:p>
          <a:endParaRPr lang="en-GB" sz="1100"/>
        </a:p>
        <a:p>
          <a:r>
            <a:rPr lang="en-GB" sz="1100"/>
            <a:t>====== Protection Hour: 4  ( Local Time: 3:00:00 AM 6/7/2025 )  ( Domtime: 3:00:00 AM 6/7/2025 ) ======</a:t>
          </a:r>
        </a:p>
        <a:p>
          <a:r>
            <a:rPr lang="en-GB" sz="1100"/>
            <a:t>Exploration for 12 Plains begun at a cost of 14520 platinum and 60 draftees.</a:t>
          </a:r>
        </a:p>
        <a:p>
          <a:endParaRPr lang="en-GB" sz="1100"/>
        </a:p>
        <a:p>
          <a:r>
            <a:rPr lang="en-GB" sz="1100"/>
            <a:t>====== Protection Hour: 5  ( Local Time: 4:00:00 AM 6/7/2025 )  ( Domtime: 4:00:00 AM 6/7/2025 ) ======</a:t>
          </a:r>
        </a:p>
        <a:p>
          <a:r>
            <a:rPr lang="en-GB" sz="1100"/>
            <a:t>Exploration for 13 Plains begun at a cost of 15730 platinum and 65 draftees.</a:t>
          </a:r>
        </a:p>
        <a:p>
          <a:endParaRPr lang="en-GB" sz="1100"/>
        </a:p>
        <a:p>
          <a:r>
            <a:rPr lang="en-GB" sz="1100"/>
            <a:t>====== Protection Hour: 6  ( Local Time: 5:00:00 AM 6/7/2025 )  ( Domtime: 5:00:00 AM 6/7/2025 ) ======</a:t>
          </a:r>
        </a:p>
        <a:p>
          <a:r>
            <a:rPr lang="en-GB" sz="1100"/>
            <a:t>Exploration for 12 Plains begun at a cost of 14520 platinum and 60 draftees.</a:t>
          </a:r>
        </a:p>
        <a:p>
          <a:endParaRPr lang="en-GB" sz="1100"/>
        </a:p>
        <a:p>
          <a:r>
            <a:rPr lang="en-GB" sz="1100"/>
            <a:t>====== Protection Hour: 7  ( Local Time: 6:00:00 AM 6/7/2025 )  ( Domtime: 6:00:00 AM 6/7/2025 ) ======</a:t>
          </a:r>
        </a:p>
        <a:p>
          <a:r>
            <a:rPr lang="en-GB" sz="1100"/>
            <a:t>Exploration for 18 Plains begun at a cost of 21780 platinum and 90 draftees.</a:t>
          </a:r>
        </a:p>
        <a:p>
          <a:endParaRPr lang="en-GB" sz="1100"/>
        </a:p>
        <a:p>
          <a:r>
            <a:rPr lang="en-GB" sz="1100"/>
            <a:t>====== Protection Hour: 8  ( Local Time: 7:00:00 AM 6/7/2025 )  ( Domtime: 7:00:00 AM 6/7/2025 ) ======</a:t>
          </a:r>
        </a:p>
        <a:p>
          <a:r>
            <a:rPr lang="en-GB" sz="1100"/>
            <a:t>Exploration for 12 Caverns begun at a cost of 14520 platinum and 60 draftees.</a:t>
          </a:r>
        </a:p>
        <a:p>
          <a:endParaRPr lang="en-GB" sz="1100"/>
        </a:p>
        <a:p>
          <a:r>
            <a:rPr lang="en-GB" sz="1100"/>
            <a:t>====== Protection Hour: 9  ( Local Time: 8:00:00 AM 6/7/2025 )  ( Domtime: 8:00:00 AM 6/7/2025 ) ======</a:t>
          </a:r>
        </a:p>
        <a:p>
          <a:r>
            <a:rPr lang="en-GB" sz="1100"/>
            <a:t>Exploration for 12 Caverns begun at a cost of 14520 platinum and 60 draftees.</a:t>
          </a:r>
        </a:p>
        <a:p>
          <a:endParaRPr lang="en-GB" sz="1100"/>
        </a:p>
        <a:p>
          <a:r>
            <a:rPr lang="en-GB" sz="1100"/>
            <a:t>====== Protection Hour: 10  ( Local Time: 9:00:00 AM 6/7/2025 )  ( Domtime: 9:00:00 AM 6/7/2025 ) ======</a:t>
          </a:r>
        </a:p>
        <a:p>
          <a:r>
            <a:rPr lang="en-GB" sz="1100"/>
            <a:t>Exploration for 13 Caverns begun at a cost of 15730 platinum and 65 draftees.</a:t>
          </a:r>
        </a:p>
        <a:p>
          <a:endParaRPr lang="en-GB" sz="1100"/>
        </a:p>
        <a:p>
          <a:r>
            <a:rPr lang="en-GB" sz="1100"/>
            <a:t>====== Protection Hour: 11  ( Local Time: 10:00:00 AM 6/7/2025 )  ( Domtime: 10:00:00 AM 6/7/2025 ) ======</a:t>
          </a:r>
        </a:p>
        <a:p>
          <a:r>
            <a:rPr lang="en-GB" sz="1100"/>
            <a:t>Exploration for 12 Hills begun at a cost of 14520 platinum and 60 draftees.</a:t>
          </a:r>
        </a:p>
        <a:p>
          <a:endParaRPr lang="en-GB" sz="1100"/>
        </a:p>
        <a:p>
          <a:r>
            <a:rPr lang="en-GB" sz="1100"/>
            <a:t>====== Protection Hour: 12  ( Local Time: 11:00:00 AM 6/7/2025 )  ( Domtime: 11:00:00 AM 6/7/2025 ) ======</a:t>
          </a:r>
        </a:p>
        <a:p>
          <a:r>
            <a:rPr lang="en-GB" sz="1100"/>
            <a:t>Exploration for 12 Hills begun at a cost of 14520 platinum and 60 draftees.</a:t>
          </a:r>
        </a:p>
        <a:p>
          <a:endParaRPr lang="en-GB" sz="1100"/>
        </a:p>
        <a:p>
          <a:r>
            <a:rPr lang="en-GB" sz="1100"/>
            <a:t>====== Protection Hour: 13  ( Local Time: 12:00:00 PM 6/7/2025 )  ( Domtime: 12:00:00 PM 6/7/2025 ) ======</a:t>
          </a:r>
        </a:p>
        <a:p>
          <a:r>
            <a:rPr lang="en-GB" sz="1100"/>
            <a:t>Exploration for 12 Hills begun at a cost of 17832 platinum and 60 draftees.</a:t>
          </a:r>
        </a:p>
        <a:p>
          <a:r>
            <a:rPr lang="en-GB" sz="1100"/>
            <a:t>Construction of 60 Smithies started at a cost of 63000 platinum and 7980 lumber.</a:t>
          </a:r>
        </a:p>
        <a:p>
          <a:endParaRPr lang="en-GB" sz="1100"/>
        </a:p>
        <a:p>
          <a:r>
            <a:rPr lang="en-GB" sz="1100"/>
            <a:t>====== Protection Hour: 14  ( Local Time: 1:00:00 PM 6/7/2025 )  ( Domtime: 1:00:00 PM 6/7/2025 ) ======</a:t>
          </a:r>
        </a:p>
        <a:p>
          <a:r>
            <a:rPr lang="en-GB" sz="1100"/>
            <a:t>Exploration for 21 Caverns begun at a cost of 32403 platinum and 105 draftees.</a:t>
          </a:r>
        </a:p>
        <a:p>
          <a:r>
            <a:rPr lang="en-GB" sz="1100"/>
            <a:t>Construction of 12 Smithies started at a cost of 12780 platinum and 1644 lumber.</a:t>
          </a:r>
        </a:p>
        <a:p>
          <a:endParaRPr lang="en-GB" sz="1100"/>
        </a:p>
        <a:p>
          <a:r>
            <a:rPr lang="en-GB" sz="1100"/>
            <a:t>====== Protection Hour: 15  ( Local Time: 2:00:00 PM 6/7/2025 )  ( Domtime: 2:00:00 PM 6/7/2025 ) ======</a:t>
          </a:r>
        </a:p>
        <a:p>
          <a:r>
            <a:rPr lang="en-GB" sz="1100"/>
            <a:t>Your wizards successfully cast Midas Touch at a cost of 1085 mana.</a:t>
          </a:r>
        </a:p>
        <a:p>
          <a:r>
            <a:rPr lang="en-GB" sz="1100"/>
            <a:t>Exploration for 14 Caverns begun at a cost of 22400 platinum and 70 draftees.</a:t>
          </a:r>
        </a:p>
        <a:p>
          <a:r>
            <a:rPr lang="en-GB" sz="1100"/>
            <a:t>Construction of 12 Smithies started at a cost of 12960 platinum and 1680 lumber.</a:t>
          </a:r>
        </a:p>
        <a:p>
          <a:endParaRPr lang="en-GB" sz="1100"/>
        </a:p>
        <a:p>
          <a:r>
            <a:rPr lang="en-GB" sz="1100"/>
            <a:t>====== Protection Hour: 16  ( Local Time: 3:00:00 PM 6/7/2025 )  ( Domtime: 3:00:00 PM 6/7/2025 ) ======</a:t>
          </a:r>
        </a:p>
        <a:p>
          <a:r>
            <a:rPr lang="en-GB" sz="1100"/>
            <a:t>Exploration for 14 Caverns begun at a cost of 23212 platinum and 70 draftees.</a:t>
          </a:r>
        </a:p>
        <a:p>
          <a:r>
            <a:rPr lang="en-GB" sz="1100"/>
            <a:t>Construction of 12 Smithies started at a cost of 13140 platinum and 1716 lumber.</a:t>
          </a:r>
        </a:p>
        <a:p>
          <a:endParaRPr lang="en-GB" sz="1100"/>
        </a:p>
        <a:p>
          <a:r>
            <a:rPr lang="en-GB" sz="1100"/>
            <a:t>====== Protection Hour: 17  ( Local Time: 4:00:00 PM 6/7/2025 )  ( Domtime: 4:00:00 PM 6/7/2025 ) ======</a:t>
          </a:r>
        </a:p>
        <a:p>
          <a:r>
            <a:rPr lang="en-GB" sz="1100"/>
            <a:t>Exploration for 12 Caverns begun at a cost of 20652 platinum and 72 draftees.</a:t>
          </a:r>
        </a:p>
        <a:p>
          <a:r>
            <a:rPr lang="en-GB" sz="1100"/>
            <a:t>Construction of 13 Smithies started at a cost of 14443 platinum and 1911 lumber.</a:t>
          </a:r>
        </a:p>
        <a:p>
          <a:endParaRPr lang="en-GB" sz="1100"/>
        </a:p>
        <a:p>
          <a:r>
            <a:rPr lang="en-GB" sz="1100"/>
            <a:t>====== Protection Hour: 18  ( Local Time: 5:00:00 PM 6/7/2025 )  ( Domtime: 5:00:00 PM 6/7/2025 ) ======</a:t>
          </a:r>
        </a:p>
        <a:p>
          <a:r>
            <a:rPr lang="en-GB" sz="1100"/>
            <a:t>Exploration for 12 Caverns begun at a cost of 21360 platinum and 72 draftees.</a:t>
          </a:r>
        </a:p>
        <a:p>
          <a:r>
            <a:rPr lang="en-GB" sz="1100"/>
            <a:t>Construction of 12 Smithies started at a cost of 13512 platinum and 1800 lumber.</a:t>
          </a:r>
        </a:p>
        <a:p>
          <a:endParaRPr lang="en-GB" sz="1100"/>
        </a:p>
        <a:p>
          <a:r>
            <a:rPr lang="en-GB" sz="1100"/>
            <a:t>====== Protection Hour: 19  ( Local Time: 6:00:00 PM 6/7/2025 )  ( Domtime: 6:00:00 PM 6/7/2025 ) ======</a:t>
          </a:r>
        </a:p>
        <a:p>
          <a:r>
            <a:rPr lang="en-GB" sz="1100"/>
            <a:t>Exploration for 13 Hills begun at a cost of 24297 platinum and 78 draftees.</a:t>
          </a:r>
        </a:p>
        <a:p>
          <a:r>
            <a:rPr lang="en-GB" sz="1100"/>
            <a:t>Construction of 13 Farms, 5 Smithies started at a cost of 20682 platinum and 2808 lumber.</a:t>
          </a:r>
        </a:p>
        <a:p>
          <a:endParaRPr lang="en-GB" sz="1100"/>
        </a:p>
        <a:p>
          <a:r>
            <a:rPr lang="en-GB" sz="1100"/>
            <a:t>====== Protection Hour: 20  ( Local Time: 7:00:00 PM 6/7/2025 )  ( Domtime: 7:00:00 PM 6/7/2025 ) ======</a:t>
          </a:r>
        </a:p>
        <a:p>
          <a:r>
            <a:rPr lang="en-GB" sz="1100"/>
            <a:t>Exploration for 13 Hills begun at a cost of 25077 platinum and 78 draftees.</a:t>
          </a:r>
        </a:p>
        <a:p>
          <a:r>
            <a:rPr lang="en-GB" sz="1100"/>
            <a:t>Construction of 12 Diamond Mines started at a cost of 13968 platinum and 1908 lumber.</a:t>
          </a:r>
        </a:p>
        <a:p>
          <a:endParaRPr lang="en-GB" sz="1100"/>
        </a:p>
        <a:p>
          <a:r>
            <a:rPr lang="en-GB" sz="1100"/>
            <a:t>====== Protection Hour: 21  ( Local Time: 8:00:00 PM 6/7/2025 )  ( Domtime: 8:00:00 PM 6/7/2025 ) ======</a:t>
          </a:r>
        </a:p>
        <a:p>
          <a:r>
            <a:rPr lang="en-GB" sz="1100"/>
            <a:t>Exploration for 13 Hills begun at a cost of 25857 platinum and 78 draftees.</a:t>
          </a:r>
        </a:p>
        <a:p>
          <a:r>
            <a:rPr lang="en-GB" sz="1100"/>
            <a:t>Construction of 12 Diamond Mines started at a cost of 14148 platinum and 1944 lumber.</a:t>
          </a:r>
        </a:p>
        <a:p>
          <a:endParaRPr lang="en-GB" sz="1100"/>
        </a:p>
        <a:p>
          <a:r>
            <a:rPr lang="en-GB" sz="1100"/>
            <a:t>====== Protection Hour: 22  ( Local Time: 9:00:00 PM 6/7/2025 )  ( Domtime: 9:00:00 PM 6/7/2025 ) ======</a:t>
          </a:r>
        </a:p>
        <a:p>
          <a:r>
            <a:rPr lang="en-GB" sz="1100"/>
            <a:t>Exploration for 13 Hills begun at a cost of 26715 platinum and 78 draftees.</a:t>
          </a:r>
        </a:p>
        <a:p>
          <a:r>
            <a:rPr lang="en-GB" sz="1100"/>
            <a:t>Construction of 13 Diamond Mines started at a cost of 15535 platinum and 2158 lumber.</a:t>
          </a:r>
        </a:p>
        <a:p>
          <a:endParaRPr lang="en-GB" sz="1100"/>
        </a:p>
        <a:p>
          <a:r>
            <a:rPr lang="en-GB" sz="1100"/>
            <a:t>====== Protection Hour: 23  ( Local Time: 10:00:00 PM 6/7/2025 )  ( Domtime: 10:00:00 PM 6/7/2025 ) ======</a:t>
          </a:r>
        </a:p>
        <a:p>
          <a:r>
            <a:rPr lang="en-GB" sz="1100"/>
            <a:t>Exploration for 13 Hills begun at a cost of 27508 platinum and 78 draftees.</a:t>
          </a:r>
        </a:p>
        <a:p>
          <a:r>
            <a:rPr lang="en-GB" sz="1100"/>
            <a:t>Construction of 12 Guard Towers started at a cost of 14520 platinum and 2040 lumber.</a:t>
          </a:r>
        </a:p>
        <a:p>
          <a:endParaRPr lang="en-GB" sz="1100"/>
        </a:p>
        <a:p>
          <a:r>
            <a:rPr lang="en-GB" sz="1100"/>
            <a:t>====== Protection Hour: 24  ( Local Time: 11:00:00 PM 6/7/2025 )  ( Domtime: 11:00:00 PM 6/7/2025 ) ======</a:t>
          </a:r>
        </a:p>
        <a:p>
          <a:r>
            <a:rPr lang="en-GB" sz="1100"/>
            <a:t>You have been awarded with 33720 platinum.</a:t>
          </a:r>
        </a:p>
        <a:p>
          <a:r>
            <a:rPr lang="en-GB" sz="1100"/>
            <a:t>Exploration for 7 Hills begun at a cost of 15239 platinum and 42 draftees.</a:t>
          </a:r>
        </a:p>
        <a:p>
          <a:r>
            <a:rPr lang="en-GB" sz="1100"/>
            <a:t>You have been awarded with 20 Cavern.</a:t>
          </a:r>
        </a:p>
        <a:p>
          <a:r>
            <a:rPr lang="en-GB" sz="1100"/>
            <a:t>Construction of 20 Homes, 12 Guard Towers started at a cost of 39700 platinum and 5656 lumber.</a:t>
          </a:r>
        </a:p>
        <a:p>
          <a:endParaRPr lang="en-GB" sz="1100"/>
        </a:p>
        <a:p>
          <a:r>
            <a:rPr lang="en-GB" sz="1100"/>
            <a:t>====== Protection Hour: 25  ( Local Time: 12:00:00 AM 6/8/2025 )  ( Domtime: 12:00:00 AM 6/8/2025 ) ======</a:t>
          </a:r>
        </a:p>
        <a:p>
          <a:r>
            <a:rPr lang="en-GB" sz="1100"/>
            <a:t>You have been awarded with 20 Cavern.</a:t>
          </a:r>
        </a:p>
        <a:p>
          <a:r>
            <a:rPr lang="en-GB" sz="1100"/>
            <a:t>Construction of 20 Homes, 12 Guard Towers started at a cost of 40980 platinum and 5944 lumber.</a:t>
          </a:r>
        </a:p>
        <a:p>
          <a:endParaRPr lang="en-GB" sz="1100"/>
        </a:p>
        <a:p>
          <a:r>
            <a:rPr lang="en-GB" sz="1100"/>
            <a:t>====== Protection Hour: 26  ( Local Time: 1:00:00 AM 6/8/2025 )  ( Domtime: 1:00:00 AM 6/8/2025 ) ======</a:t>
          </a:r>
        </a:p>
        <a:p>
          <a:r>
            <a:rPr lang="en-GB" sz="1100"/>
            <a:t>Construction of 21 Homes started at a cost of 27636 platinum and 4074 lumber.</a:t>
          </a:r>
        </a:p>
        <a:p>
          <a:endParaRPr lang="en-GB" sz="1100"/>
        </a:p>
        <a:p>
          <a:r>
            <a:rPr lang="en-GB" sz="1100"/>
            <a:t>====== Protection Hour: 27  ( Local Time: 2:00:00 AM 6/8/2025 )  ( Domtime: 2:00:00 AM 6/8/2025 ) ======</a:t>
          </a:r>
        </a:p>
        <a:p>
          <a:r>
            <a:rPr lang="en-GB" sz="1100"/>
            <a:t>Your wizards successfully cast Midas Touch at a cost of 1593 mana.</a:t>
          </a:r>
        </a:p>
        <a:p>
          <a:r>
            <a:rPr lang="en-GB" sz="1100"/>
            <a:t>Construction of 14 Homes started at a cost of 18676 platinum and 2772 lumber.</a:t>
          </a:r>
        </a:p>
        <a:p>
          <a:endParaRPr lang="en-GB" sz="1100"/>
        </a:p>
        <a:p>
          <a:r>
            <a:rPr lang="en-GB" sz="1100"/>
            <a:t>====== Protection Hour: 28  ( Local Time: 3:00:00 AM 6/8/2025 )  ( Domtime: 3:00:00 AM 6/8/2025 ) ======</a:t>
          </a:r>
        </a:p>
        <a:p>
          <a:r>
            <a:rPr lang="en-GB" sz="1100"/>
            <a:t>Construction of 14 Diamond Mines started at a cost of 18914 platinum and 2828 lumber.</a:t>
          </a:r>
        </a:p>
        <a:p>
          <a:endParaRPr lang="en-GB" sz="1100"/>
        </a:p>
        <a:p>
          <a:r>
            <a:rPr lang="en-GB" sz="1100"/>
            <a:t>====== Protection Hour: 29  ( Local Time: 4:00:00 AM 6/8/2025 )  ( Domtime: 4:00:00 AM 6/8/2025 ) ======</a:t>
          </a:r>
        </a:p>
        <a:p>
          <a:r>
            <a:rPr lang="en-GB" sz="1100"/>
            <a:t>Construction of 12 Diamond Mines started at a cost of 16392 platinum and 2460 lumber.</a:t>
          </a:r>
        </a:p>
        <a:p>
          <a:endParaRPr lang="en-GB" sz="1100"/>
        </a:p>
        <a:p>
          <a:r>
            <a:rPr lang="en-GB" sz="1100"/>
            <a:t>====== Protection Hour: 30  ( Local Time: 5:00:00 AM 6/8/2025 )  ( Domtime: 5:00:00 AM 6/8/2025 ) ======</a:t>
          </a:r>
        </a:p>
        <a:p>
          <a:r>
            <a:rPr lang="en-GB" sz="1100"/>
            <a:t>Construction of 12 Diamond Mines started at a cost of 16572 platinum and 2508 lumber.</a:t>
          </a:r>
        </a:p>
        <a:p>
          <a:endParaRPr lang="en-GB" sz="1100"/>
        </a:p>
        <a:p>
          <a:r>
            <a:rPr lang="en-GB" sz="1100"/>
            <a:t>====== Protection Hour: 31  ( Local Time: 6:00:00 AM 6/8/2025 )  ( Domtime: 6:00:00 AM 6/8/2025 ) ======</a:t>
          </a:r>
        </a:p>
        <a:p>
          <a:r>
            <a:rPr lang="en-GB" sz="1100"/>
            <a:t>Construction of 13 Guard Towers started at a cost of 18174 platinum and 2756 lumber.</a:t>
          </a:r>
        </a:p>
        <a:p>
          <a:endParaRPr lang="en-GB" sz="1100"/>
        </a:p>
        <a:p>
          <a:r>
            <a:rPr lang="en-GB" sz="1100"/>
            <a:t>====== Protection Hour: 32  ( Local Time: 7:00:00 AM 6/8/2025 )  ( Domtime: 7:00:00 AM 6/8/2025 ) ======</a:t>
          </a:r>
        </a:p>
        <a:p>
          <a:r>
            <a:rPr lang="en-GB" sz="1100"/>
            <a:t>Construction of 13 Guard Towers started at a cost of 18382 platinum and 2808 lumber.</a:t>
          </a:r>
        </a:p>
        <a:p>
          <a:endParaRPr lang="en-GB" sz="1100"/>
        </a:p>
        <a:p>
          <a:r>
            <a:rPr lang="en-GB" sz="1100"/>
            <a:t>====== Protection Hour: 33  ( Local Time: 8:00:00 AM 6/8/2025 )  ( Domtime: 8:00:00 AM 6/8/2025 ) ======</a:t>
          </a:r>
        </a:p>
        <a:p>
          <a:r>
            <a:rPr lang="en-GB" sz="1100"/>
            <a:t>Construction of 13 Guard Towers started at a cost of 18590 platinum and 2860 lumber.</a:t>
          </a:r>
        </a:p>
        <a:p>
          <a:endParaRPr lang="en-GB" sz="1100"/>
        </a:p>
        <a:p>
          <a:r>
            <a:rPr lang="en-GB" sz="1100"/>
            <a:t>====== Protection Hour: 34  ( Local Time: 9:00:00 AM 6/8/2025 )  ( Domtime: 9:00:00 AM 6/8/2025 ) ======</a:t>
          </a:r>
        </a:p>
        <a:p>
          <a:r>
            <a:rPr lang="en-GB" sz="1100"/>
            <a:t>Construction of 13 Guard Towers started at a cost of 18798 platinum and 2899 lumber.</a:t>
          </a:r>
        </a:p>
        <a:p>
          <a:endParaRPr lang="en-GB" sz="1100"/>
        </a:p>
        <a:p>
          <a:r>
            <a:rPr lang="en-GB" sz="1100"/>
            <a:t>====== Protection Hour: 35  ( Local Time: 10:00:00 AM 6/8/2025 )  ( Domtime: 10:00:00 AM 6/8/2025 ) ======</a:t>
          </a:r>
        </a:p>
        <a:p>
          <a:r>
            <a:rPr lang="en-GB" sz="1100"/>
            <a:t>Construction of 13 Guard Towers started at a cost of 19019 platinum and 2951 lumber.</a:t>
          </a:r>
        </a:p>
        <a:p>
          <a:endParaRPr lang="en-GB" sz="1100"/>
        </a:p>
        <a:p>
          <a:r>
            <a:rPr lang="en-GB" sz="1100"/>
            <a:t>====== Protection Hour: 36  ( Local Time: 11:00:00 AM 6/8/2025 )  ( Domtime: 11:00:00 AM 6/8/2025 ) ======</a:t>
          </a:r>
        </a:p>
        <a:p>
          <a:r>
            <a:rPr lang="en-GB" sz="1100"/>
            <a:t>Construction of 7 Guard Towers started at a cost of 10297 platinum and 1603 lumber.</a:t>
          </a:r>
        </a:p>
        <a:p>
          <a:endParaRPr lang="en-GB" sz="1100"/>
        </a:p>
        <a:p>
          <a:r>
            <a:rPr lang="en-GB" sz="1100"/>
            <a:t>====== Protection Hour: 37  ( Local Time: 12:00:00 PM 6/8/2025 )  ( Domtime: 12:00:00 PM 6/8/2025 ) ======</a:t>
          </a:r>
        </a:p>
        <a:p>
          <a:r>
            <a:rPr lang="en-GB" sz="1100"/>
            <a:t>You have been awarded with 43444 platinum.</a:t>
          </a:r>
        </a:p>
        <a:p>
          <a:endParaRPr lang="en-GB" sz="1100"/>
        </a:p>
        <a:p>
          <a:r>
            <a:rPr lang="en-GB" sz="1100"/>
            <a:t>====== Protection Hour: 39  ( Local Time: 2:00:00 PM 6/8/2025 )  ( Domtime: 2:00:00 PM 6/8/2025 ) ======</a:t>
          </a:r>
        </a:p>
        <a:p>
          <a:r>
            <a:rPr lang="en-GB" sz="1100"/>
            <a:t>Your wizards successfully cast Midas Touch at a cost of 1868 mana.</a:t>
          </a:r>
        </a:p>
        <a:p>
          <a:endParaRPr lang="en-GB" sz="1100"/>
        </a:p>
        <a:p>
          <a:r>
            <a:rPr lang="en-GB" sz="1100"/>
            <a:t>====== Protection Hour: 40  ( Local Time: 3:00:00 PM 6/8/2025 )  ( Domtime: 3:00:00 PM 6/8/2025 ) ======</a:t>
          </a:r>
        </a:p>
        <a:p>
          <a:r>
            <a:rPr lang="en-GB" sz="1100"/>
            <a:t>Training of 1614 Ratman begun at a cost of 267924 platinum, 0 ore, 1614 draftees, 0 spies, and 0 wizards.</a:t>
          </a:r>
        </a:p>
        <a:p>
          <a:endParaRPr lang="en-GB" sz="1100"/>
        </a:p>
        <a:p>
          <a:r>
            <a:rPr lang="en-GB" sz="1100"/>
            <a:t>====== Protection Hour: 49  ( Local Time: 12:00:00 AM 6/9/2025 )  ( Domtime: 12:00:00 AM 6/9/2025 ) ======</a:t>
          </a:r>
        </a:p>
        <a:p>
          <a:r>
            <a:rPr lang="en-GB" sz="1100"/>
            <a:t>Your wizards successfully cast Ares Call at a cost of 1868 mana.</a:t>
          </a:r>
        </a:p>
        <a:p>
          <a:endParaRPr lang="en-GB" sz="1100"/>
        </a:p>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MAX(3900,_xlfn.CEILING.MATH(3600+TblProd[[#This Row],[Land]]*0.65+OFFSET(TblTech[[#This Row],[Sum of tech]],-1,0)*150))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 + 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Overview!$I$33),0)</calculatedColumnFormula>
    </tableColumn>
    <tableColumn id="33" xr3:uid="{F0CBDA56-E75F-4156-B9BD-681857934D22}" name="Draftees/acre" dataDxfId="438">
      <calculatedColumnFormula>_xlfn.FLOOR.MATH(TblExplore[[#This Row],[Land-DB]]/150)+3+tech_2_9_2*TblTech[[#This Row],[2-9]]+tech_3_7_2*TblTech[[#This Row],[3-7]]</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    "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Row],[Total Swamp]]/TblConstr[[#This Row],[Land]]/abyss_enforce_bonus,abyss_enforcer_cap)</calculatedColumnFormula>
    </tableColumn>
    <tableColumn id="112" xr3:uid="{784D98C7-E60A-4D20-854E-4FCCFEFCDE00}" name="Demonic Pact OP" dataDxfId="292">
      <calculatedColumnFormula>IF(TblMagic[[#This Row],[Active Demonic Pact]]&gt;0,MIN(TblMili[[#This Row],[Unit 1]],TblMili[[#This Row],[Unit 4]])*demonic_pact_oppair,0)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Demonic Pact"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15"/>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(1+Overview!$I$29)*SUM(TblImps[[#This Row],[P2]:[G2]])+OFFSET(TblImps[[#This Row],[Σ Science]],-1,0)</calculatedColumnFormula>
    </tableColumn>
    <tableColumn id="33" xr3:uid="{87424BBC-4CC9-4173-85AC-5C6A6ECFFB84}" name="Σ Keep" dataDxfId="86">
      <calculatedColumnFormula>(1+Overview!$I$29)*SUM(TblImps[[#This Row],[P3]:[G3]])+OFFSET(TblImps[[#This Row],[Σ Keep]],-1,0)</calculatedColumnFormula>
    </tableColumn>
    <tableColumn id="34" xr3:uid="{3DB81FE6-4CBC-4F36-973D-C8F8D1BD09A1}" name="Σ Spires" dataDxfId="85">
      <calculatedColumnFormula>(1+Overview!$I$29 + tech_7_1*TblTech[[#This Row],[7-1]])*SUM(TblImps[[#This Row],[P4]:[G4]])+OFFSET(TblImps[[#This Row],[Σ Spires]],-1,0)</calculatedColumnFormula>
    </tableColumn>
    <tableColumn id="35" xr3:uid="{485A62F9-7EE3-40A9-BDA7-9F3E4E3EC0E1}" name="Σ Forges" dataDxfId="84">
      <calculatedColumnFormula>(1+Overview!$I$29)*SUM(TblImps[[#This Row],[P5]:[G5]])+OFFSET(TblImps[[#This Row],[Σ Forges]],-1,0)</calculatedColumnFormula>
    </tableColumn>
    <tableColumn id="36" xr3:uid="{CEDFD8F7-5AA6-4236-AE0F-14B6F23AE524}" name="Σ Walls" dataDxfId="83">
      <calculatedColumnFormula>(1+Overview!$I$29)*SUM(TblImps[[#This Row],[P6]:[G6]])+OFFSET(TblImps[[#This Row],[Σ Walls]],-1,0)</calculatedColumnFormula>
    </tableColumn>
    <tableColumn id="37" xr3:uid="{1C140D1F-1021-4314-82BD-7176A05B078C}" name="Σ Harbor" dataDxfId="82">
      <calculatedColumnFormula>(1+Overview!$I$29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9" t="s">
        <v>449</v>
      </c>
      <c r="B1" s="489"/>
      <c r="C1" s="489"/>
      <c r="D1" s="489"/>
      <c r="E1" s="489"/>
      <c r="F1" s="489"/>
      <c r="G1" s="489"/>
      <c r="H1" s="489"/>
      <c r="I1" s="489"/>
      <c r="J1" s="489"/>
      <c r="K1" s="489"/>
      <c r="L1" s="490"/>
      <c r="M1" s="496" t="s">
        <v>1036</v>
      </c>
      <c r="N1" s="497"/>
      <c r="O1" s="498"/>
    </row>
    <row r="2" spans="1:15" s="44" customFormat="1" ht="12.75" customHeight="1" x14ac:dyDescent="0.2">
      <c r="A2" s="525" t="s">
        <v>1073</v>
      </c>
      <c r="B2" s="526"/>
      <c r="C2" s="526"/>
      <c r="D2" s="526"/>
      <c r="E2" s="526"/>
      <c r="F2" s="526"/>
      <c r="G2" s="526"/>
      <c r="H2" s="526"/>
      <c r="I2" s="526"/>
      <c r="J2" s="526"/>
      <c r="K2" s="526"/>
      <c r="L2" s="527"/>
      <c r="M2" s="513" t="s">
        <v>1104</v>
      </c>
      <c r="N2" s="514"/>
      <c r="O2" s="515"/>
    </row>
    <row r="3" spans="1:15" s="44" customFormat="1" x14ac:dyDescent="0.2">
      <c r="A3" s="525"/>
      <c r="B3" s="526"/>
      <c r="C3" s="526"/>
      <c r="D3" s="526"/>
      <c r="E3" s="526"/>
      <c r="F3" s="526"/>
      <c r="G3" s="526"/>
      <c r="H3" s="526"/>
      <c r="I3" s="526"/>
      <c r="J3" s="526"/>
      <c r="K3" s="526"/>
      <c r="L3" s="527"/>
      <c r="M3" s="513"/>
      <c r="N3" s="514"/>
      <c r="O3" s="515"/>
    </row>
    <row r="4" spans="1:15" s="44" customFormat="1" x14ac:dyDescent="0.2">
      <c r="A4" s="525"/>
      <c r="B4" s="526"/>
      <c r="C4" s="526"/>
      <c r="D4" s="526"/>
      <c r="E4" s="526"/>
      <c r="F4" s="526"/>
      <c r="G4" s="526"/>
      <c r="H4" s="526"/>
      <c r="I4" s="526"/>
      <c r="J4" s="526"/>
      <c r="K4" s="526"/>
      <c r="L4" s="527"/>
      <c r="M4" s="513"/>
      <c r="N4" s="514"/>
      <c r="O4" s="515"/>
    </row>
    <row r="5" spans="1:15" s="44" customFormat="1" x14ac:dyDescent="0.2">
      <c r="A5" s="525"/>
      <c r="B5" s="526"/>
      <c r="C5" s="526"/>
      <c r="D5" s="526"/>
      <c r="E5" s="526"/>
      <c r="F5" s="526"/>
      <c r="G5" s="526"/>
      <c r="H5" s="526"/>
      <c r="I5" s="526"/>
      <c r="J5" s="526"/>
      <c r="K5" s="526"/>
      <c r="L5" s="527"/>
      <c r="M5" s="513"/>
      <c r="N5" s="514"/>
      <c r="O5" s="515"/>
    </row>
    <row r="6" spans="1:15" s="44" customFormat="1" x14ac:dyDescent="0.2">
      <c r="A6" s="525"/>
      <c r="B6" s="526"/>
      <c r="C6" s="526"/>
      <c r="D6" s="526"/>
      <c r="E6" s="526"/>
      <c r="F6" s="526"/>
      <c r="G6" s="526"/>
      <c r="H6" s="526"/>
      <c r="I6" s="526"/>
      <c r="J6" s="526"/>
      <c r="K6" s="526"/>
      <c r="L6" s="527"/>
      <c r="M6" s="513"/>
      <c r="N6" s="514"/>
      <c r="O6" s="515"/>
    </row>
    <row r="7" spans="1:15" s="44" customFormat="1" ht="13.5" thickBot="1" x14ac:dyDescent="0.25">
      <c r="A7" s="528"/>
      <c r="B7" s="529"/>
      <c r="C7" s="529"/>
      <c r="D7" s="529"/>
      <c r="E7" s="529"/>
      <c r="F7" s="529"/>
      <c r="G7" s="529"/>
      <c r="H7" s="529"/>
      <c r="I7" s="529"/>
      <c r="J7" s="529"/>
      <c r="K7" s="529"/>
      <c r="L7" s="530"/>
      <c r="M7" s="513"/>
      <c r="N7" s="514"/>
      <c r="O7" s="515"/>
    </row>
    <row r="8" spans="1:15" s="44" customFormat="1" ht="15.75" x14ac:dyDescent="0.2">
      <c r="A8" s="491" t="s">
        <v>448</v>
      </c>
      <c r="B8" s="492"/>
      <c r="C8" s="492"/>
      <c r="D8" s="492"/>
      <c r="E8" s="492"/>
      <c r="F8" s="492"/>
      <c r="G8" s="492"/>
      <c r="H8" s="492"/>
      <c r="I8" s="493"/>
      <c r="J8" s="499" t="s">
        <v>1143</v>
      </c>
      <c r="K8" s="500"/>
      <c r="L8" s="501"/>
      <c r="M8" s="516"/>
      <c r="N8" s="517"/>
      <c r="O8" s="518"/>
    </row>
    <row r="9" spans="1:15" s="44" customFormat="1" ht="12.75" customHeight="1" x14ac:dyDescent="0.2">
      <c r="A9" s="494" t="s">
        <v>1159</v>
      </c>
      <c r="B9" s="495"/>
      <c r="C9" s="495"/>
      <c r="D9" s="495"/>
      <c r="E9" s="495"/>
      <c r="F9" s="495"/>
      <c r="G9" s="495"/>
      <c r="H9" s="495"/>
      <c r="I9" s="495"/>
      <c r="J9" s="502"/>
      <c r="K9" s="503"/>
      <c r="L9" s="504"/>
      <c r="M9" s="516"/>
      <c r="N9" s="517"/>
      <c r="O9" s="518"/>
    </row>
    <row r="10" spans="1:15" s="44" customFormat="1" ht="12.75" customHeight="1" x14ac:dyDescent="0.2">
      <c r="A10" s="494"/>
      <c r="B10" s="495"/>
      <c r="C10" s="495"/>
      <c r="D10" s="495"/>
      <c r="E10" s="495"/>
      <c r="F10" s="495"/>
      <c r="G10" s="495"/>
      <c r="H10" s="495"/>
      <c r="I10" s="495"/>
      <c r="J10" s="502"/>
      <c r="K10" s="503"/>
      <c r="L10" s="504"/>
      <c r="M10" s="516"/>
      <c r="N10" s="517"/>
      <c r="O10" s="518"/>
    </row>
    <row r="11" spans="1:15" s="44" customFormat="1" ht="12.75" customHeight="1" x14ac:dyDescent="0.2">
      <c r="A11" s="494"/>
      <c r="B11" s="495"/>
      <c r="C11" s="495"/>
      <c r="D11" s="495"/>
      <c r="E11" s="495"/>
      <c r="F11" s="495"/>
      <c r="G11" s="495"/>
      <c r="H11" s="495"/>
      <c r="I11" s="495"/>
      <c r="J11" s="502"/>
      <c r="K11" s="503"/>
      <c r="L11" s="504"/>
      <c r="M11" s="516"/>
      <c r="N11" s="517"/>
      <c r="O11" s="518"/>
    </row>
    <row r="12" spans="1:15" s="44" customFormat="1" ht="28.5" customHeight="1" thickBot="1" x14ac:dyDescent="0.25">
      <c r="A12" s="494"/>
      <c r="B12" s="495"/>
      <c r="C12" s="495"/>
      <c r="D12" s="495"/>
      <c r="E12" s="495"/>
      <c r="F12" s="495"/>
      <c r="G12" s="495"/>
      <c r="H12" s="495"/>
      <c r="I12" s="495"/>
      <c r="J12" s="505"/>
      <c r="K12" s="506"/>
      <c r="L12" s="507"/>
      <c r="M12" s="519"/>
      <c r="N12" s="520"/>
      <c r="O12" s="521"/>
    </row>
    <row r="13" spans="1:15" s="44" customFormat="1" ht="25.5" customHeight="1" thickBot="1" x14ac:dyDescent="0.25">
      <c r="A13" s="522" t="s">
        <v>256</v>
      </c>
      <c r="B13" s="523"/>
      <c r="C13" s="524"/>
      <c r="D13" s="524"/>
      <c r="E13" s="524"/>
      <c r="F13" s="524"/>
      <c r="G13" s="524"/>
      <c r="H13" s="524"/>
      <c r="I13" s="524"/>
      <c r="J13" s="524"/>
      <c r="K13" s="524"/>
      <c r="L13" s="524"/>
      <c r="M13" s="524"/>
      <c r="N13" s="524"/>
      <c r="O13" s="524"/>
    </row>
    <row r="14" spans="1:15" s="52" customFormat="1" ht="12.75" customHeight="1" x14ac:dyDescent="0.2">
      <c r="A14" s="45" t="s">
        <v>28</v>
      </c>
      <c r="B14" s="130" t="s">
        <v>89</v>
      </c>
      <c r="C14" s="46"/>
      <c r="D14" s="47" t="s">
        <v>321</v>
      </c>
      <c r="E14" s="47" t="s">
        <v>769</v>
      </c>
      <c r="F14" s="44"/>
      <c r="G14" s="44"/>
      <c r="K14" s="44" t="s">
        <v>1157</v>
      </c>
      <c r="L14" s="44"/>
      <c r="M14" s="44"/>
      <c r="O14" s="79"/>
    </row>
    <row r="15" spans="1:15" s="44" customFormat="1" ht="12.75" customHeight="1" x14ac:dyDescent="0.2">
      <c r="A15" s="45" t="s">
        <v>446</v>
      </c>
      <c r="B15" s="131">
        <v>45815</v>
      </c>
      <c r="D15" s="45" t="s">
        <v>322</v>
      </c>
      <c r="E15" s="53">
        <f>B15+(1+B16-1)/24+B18-0/24</f>
        <v>45815</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45869.011142824071</v>
      </c>
      <c r="H16" s="45" t="s">
        <v>163</v>
      </c>
      <c r="I16" s="54">
        <f>INDEX(TblRaces[[Max population]:[Explore Cost]],MATCH(race,TblRaces[Race],0),MATCH(Table4[[#This Row],[Race Bonuses]],TblRaces[[#Headers],[Max population]:[Explore Cost]],0))</f>
        <v>0</v>
      </c>
      <c r="K16" s="45" t="s">
        <v>170</v>
      </c>
      <c r="L16" s="478">
        <v>0</v>
      </c>
      <c r="M16" s="482" t="s">
        <v>1160</v>
      </c>
      <c r="O16" s="51"/>
    </row>
    <row r="17" spans="1:15" s="44" customFormat="1" ht="12.75" customHeight="1" thickBot="1" x14ac:dyDescent="0.25">
      <c r="A17" s="45" t="s">
        <v>319</v>
      </c>
      <c r="B17" s="55">
        <f ca="1">TODAY()</f>
        <v>45869</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6">
        <v>0</v>
      </c>
      <c r="M17" s="481" t="s">
        <v>1161</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6">
        <v>30</v>
      </c>
      <c r="M18" s="481" t="s">
        <v>1162</v>
      </c>
      <c r="O18" s="51"/>
    </row>
    <row r="19" spans="1:15" s="44" customFormat="1" x14ac:dyDescent="0.2">
      <c r="H19" s="45" t="s">
        <v>107</v>
      </c>
      <c r="I19" s="54">
        <f>INDEX(TblRaces[[Max population]:[Explore Cost]],MATCH(race,TblRaces[Race],0),MATCH(Table4[[#This Row],[Race Bonuses]],TblRaces[[#Headers],[Max population]:[Explore Cost]],0))</f>
        <v>0.05</v>
      </c>
      <c r="J19" s="49"/>
      <c r="K19" s="45" t="s">
        <v>1154</v>
      </c>
      <c r="L19" s="476">
        <v>0</v>
      </c>
      <c r="M19" s="481" t="s">
        <v>1163</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1150</v>
      </c>
      <c r="L20" s="476">
        <v>0</v>
      </c>
      <c r="M20" s="481" t="s">
        <v>1164</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6">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6">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1151</v>
      </c>
      <c r="L23" s="477">
        <v>0</v>
      </c>
      <c r="M23" s="468"/>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1148</v>
      </c>
      <c r="L24" s="477">
        <v>0</v>
      </c>
      <c r="M24" s="468"/>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7">
        <v>0</v>
      </c>
      <c r="M25" s="46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1147</v>
      </c>
      <c r="L26" s="477">
        <v>0</v>
      </c>
      <c r="M26" s="468"/>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1149</v>
      </c>
      <c r="L27" s="477">
        <v>0</v>
      </c>
      <c r="M27" s="46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1153</v>
      </c>
      <c r="L28" s="476">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6">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1155</v>
      </c>
      <c r="L30" s="476">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1156</v>
      </c>
      <c r="L31" s="476">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1146</v>
      </c>
      <c r="L32" s="476">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1152</v>
      </c>
      <c r="L33" s="476">
        <v>0</v>
      </c>
      <c r="O33" s="60"/>
    </row>
    <row r="34" spans="1:21" s="44" customFormat="1" x14ac:dyDescent="0.2">
      <c r="A34" s="65"/>
      <c r="D34" s="66"/>
      <c r="E34" s="67"/>
      <c r="H34" s="210"/>
      <c r="I34" s="473"/>
      <c r="K34" s="45" t="s">
        <v>46</v>
      </c>
      <c r="L34" s="476">
        <v>0</v>
      </c>
      <c r="O34" s="60"/>
    </row>
    <row r="35" spans="1:21" s="69" customFormat="1" x14ac:dyDescent="0.2">
      <c r="A35" s="68"/>
      <c r="D35" s="70"/>
      <c r="E35" s="71"/>
      <c r="H35" s="474"/>
      <c r="I35" s="475"/>
      <c r="K35" s="474"/>
      <c r="L35" s="479">
        <f>SUM(Table20[Amount])</f>
        <v>50</v>
      </c>
      <c r="M35" s="480" t="str">
        <f>IF(L35=start_acres,"Construction Complete!",IF(L35&lt;start_acres,"Construct additional buildings!","You have built too many buildings!"))</f>
        <v>Construct additional buildings!</v>
      </c>
      <c r="O35" s="74"/>
    </row>
    <row r="36" spans="1:21" s="73" customFormat="1" ht="29.25" customHeight="1" x14ac:dyDescent="0.2">
      <c r="A36" s="511" t="s">
        <v>375</v>
      </c>
      <c r="B36" s="487"/>
      <c r="C36" s="487"/>
      <c r="D36" s="487"/>
      <c r="E36" s="487"/>
      <c r="F36" s="487"/>
      <c r="G36" s="487"/>
      <c r="H36" s="487"/>
      <c r="I36" s="487"/>
      <c r="J36" s="512"/>
      <c r="K36" s="512"/>
      <c r="L36" s="512"/>
      <c r="M36" s="512"/>
      <c r="N36" s="512"/>
      <c r="O36" s="512"/>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Military!E$52</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9"/>
      <c r="L39" s="508" t="s">
        <v>427</v>
      </c>
      <c r="M39" s="508"/>
      <c r="N39" s="508"/>
      <c r="O39" s="509"/>
      <c r="R39" s="5"/>
      <c r="U39" s="124"/>
    </row>
    <row r="40" spans="1:21" x14ac:dyDescent="0.2">
      <c r="A40" s="90" t="str">
        <f>spec_dp_name</f>
        <v>Archer</v>
      </c>
      <c r="B40" s="91">
        <f ca="1">Military!F$52</f>
        <v>0</v>
      </c>
      <c r="C40" s="92">
        <f ca="1">B40*B23</f>
        <v>0</v>
      </c>
      <c r="D40" s="93"/>
      <c r="E40" s="91">
        <f ca="1">C40*(1+$D$39)</f>
        <v>0</v>
      </c>
      <c r="F40" s="94">
        <f ca="1">B40*C23</f>
        <v>0</v>
      </c>
      <c r="G40" s="93"/>
      <c r="H40" s="94">
        <f ca="1">F40*(1+$G$39)</f>
        <v>0</v>
      </c>
      <c r="I40" s="89" t="str">
        <f>A40</f>
        <v>Archer</v>
      </c>
      <c r="J40" s="44"/>
      <c r="K40" s="469"/>
      <c r="L40" s="508"/>
      <c r="M40" s="508"/>
      <c r="N40" s="508"/>
      <c r="O40" s="509"/>
      <c r="R40" s="471"/>
      <c r="S40" s="471"/>
      <c r="T40" s="471"/>
      <c r="U40" s="471"/>
    </row>
    <row r="41" spans="1:21" x14ac:dyDescent="0.2">
      <c r="A41" s="90" t="str">
        <f>elite1_name</f>
        <v>Knight</v>
      </c>
      <c r="B41" s="91">
        <f ca="1">Military!G$52</f>
        <v>0</v>
      </c>
      <c r="C41" s="92">
        <f ca="1">B41*B24</f>
        <v>0</v>
      </c>
      <c r="D41" s="93"/>
      <c r="E41" s="91">
        <f ca="1">C41*(1+$D$39)</f>
        <v>0</v>
      </c>
      <c r="F41" s="94">
        <f ca="1">B41*C24+E92*D92</f>
        <v>0</v>
      </c>
      <c r="G41" s="93"/>
      <c r="H41" s="94">
        <f ca="1">F41*(1+$G$39)</f>
        <v>0</v>
      </c>
      <c r="I41" s="89" t="str">
        <f>A41</f>
        <v>Knight</v>
      </c>
      <c r="J41" s="44"/>
      <c r="K41" s="469"/>
      <c r="L41" s="508"/>
      <c r="M41" s="508"/>
      <c r="N41" s="508"/>
      <c r="O41" s="509"/>
      <c r="R41" s="471"/>
      <c r="S41" s="471"/>
      <c r="T41" s="471"/>
      <c r="U41" s="471"/>
    </row>
    <row r="42" spans="1:21" ht="13.5" customHeight="1" thickBot="1" x14ac:dyDescent="0.25">
      <c r="A42" s="90" t="str">
        <f>elite2_name</f>
        <v>Cavalry</v>
      </c>
      <c r="B42" s="91">
        <f ca="1">Military!H$52</f>
        <v>0</v>
      </c>
      <c r="C42" s="95">
        <f ca="1">B42*B25+E92*C93</f>
        <v>0</v>
      </c>
      <c r="D42" s="93"/>
      <c r="E42" s="96">
        <f ca="1">C42*(1+$D$39)</f>
        <v>0</v>
      </c>
      <c r="F42" s="97">
        <f ca="1">B42*C25</f>
        <v>0</v>
      </c>
      <c r="G42" s="93"/>
      <c r="H42" s="97">
        <f ca="1">F42*(1+$G$39)</f>
        <v>0</v>
      </c>
      <c r="I42" s="89" t="str">
        <f>A42</f>
        <v>Cavalry</v>
      </c>
      <c r="J42" s="44"/>
      <c r="K42" s="468"/>
      <c r="L42" s="486" t="s">
        <v>447</v>
      </c>
      <c r="M42" s="486"/>
      <c r="N42" s="486"/>
      <c r="O42" s="510"/>
      <c r="R42" s="471"/>
      <c r="S42" s="471"/>
      <c r="T42" s="471"/>
      <c r="U42" s="471"/>
    </row>
    <row r="43" spans="1:21" ht="13.5" thickTop="1" x14ac:dyDescent="0.2">
      <c r="A43" s="98"/>
      <c r="B43" s="85"/>
      <c r="C43" s="99">
        <f ca="1">SUM(C39:C42)</f>
        <v>0</v>
      </c>
      <c r="E43" s="100">
        <f ca="1">SUM(E39:E42)</f>
        <v>0</v>
      </c>
      <c r="F43" s="35">
        <f ca="1">SUM(F39:F42)</f>
        <v>0</v>
      </c>
      <c r="H43" s="35">
        <f ca="1">SUM(H39:H42)</f>
        <v>0</v>
      </c>
      <c r="I43" s="82"/>
      <c r="J43" s="44"/>
      <c r="K43" s="468"/>
      <c r="L43" s="486"/>
      <c r="M43" s="486"/>
      <c r="N43" s="486"/>
      <c r="O43" s="510"/>
      <c r="R43" s="472"/>
      <c r="S43" s="472"/>
      <c r="T43" s="472"/>
      <c r="U43" s="472"/>
    </row>
    <row r="44" spans="1:21" ht="12.75" customHeight="1" x14ac:dyDescent="0.2">
      <c r="A44" s="101" t="s">
        <v>24</v>
      </c>
      <c r="B44" s="94">
        <f ca="1">F44</f>
        <v>477</v>
      </c>
      <c r="C44" s="101"/>
      <c r="E44" s="102"/>
      <c r="F44" s="94">
        <f ca="1">Military!AA52</f>
        <v>477</v>
      </c>
      <c r="H44" s="94">
        <f ca="1">F44*(1+$G$39)</f>
        <v>477</v>
      </c>
      <c r="I44" s="89" t="s">
        <v>418</v>
      </c>
      <c r="J44" s="44"/>
      <c r="K44" s="469"/>
      <c r="L44" s="508" t="s">
        <v>445</v>
      </c>
      <c r="M44" s="508"/>
      <c r="N44" s="508"/>
      <c r="O44" s="509"/>
      <c r="R44" s="472"/>
      <c r="S44" s="472"/>
      <c r="T44" s="472"/>
      <c r="U44" s="472"/>
    </row>
    <row r="45" spans="1:21" ht="13.5" thickBot="1" x14ac:dyDescent="0.25">
      <c r="A45" s="101" t="s">
        <v>417</v>
      </c>
      <c r="B45" s="45">
        <f ca="1">E57</f>
        <v>0</v>
      </c>
      <c r="C45" s="101"/>
      <c r="E45" s="102"/>
      <c r="F45" s="103">
        <f ca="1">MIN(Population!C76/2,Constants!B14*20*Construction!BE76)</f>
        <v>0</v>
      </c>
      <c r="H45" s="104">
        <f ca="1">F45*(1+$G$39)</f>
        <v>0</v>
      </c>
      <c r="I45" s="89" t="s">
        <v>376</v>
      </c>
      <c r="J45" s="44"/>
      <c r="K45" s="469"/>
      <c r="L45" s="508"/>
      <c r="M45" s="508"/>
      <c r="N45" s="508"/>
      <c r="O45" s="509"/>
      <c r="R45" s="471"/>
      <c r="S45" s="471"/>
      <c r="T45" s="471"/>
      <c r="U45" s="471"/>
    </row>
    <row r="46" spans="1:21" ht="13.5" thickTop="1" x14ac:dyDescent="0.2">
      <c r="C46" s="101"/>
      <c r="E46" s="102"/>
      <c r="F46" s="35">
        <f ca="1">F44+F43+F45</f>
        <v>477</v>
      </c>
      <c r="H46" s="100">
        <f ca="1">H44+H43+H45</f>
        <v>477</v>
      </c>
      <c r="I46" s="89"/>
      <c r="J46" s="44"/>
      <c r="K46" s="469"/>
      <c r="L46" s="508"/>
      <c r="M46" s="508"/>
      <c r="N46" s="508"/>
      <c r="O46" s="509"/>
      <c r="R46" s="471"/>
      <c r="S46" s="471"/>
      <c r="T46" s="471"/>
      <c r="U46" s="471"/>
    </row>
    <row r="47" spans="1:21" x14ac:dyDescent="0.2">
      <c r="A47" s="44"/>
      <c r="B47" s="44"/>
      <c r="C47" s="44"/>
      <c r="D47" s="485"/>
      <c r="E47" s="485"/>
      <c r="F47" s="485"/>
      <c r="G47" s="485"/>
      <c r="H47" s="485"/>
      <c r="I47" s="44"/>
      <c r="J47" s="44"/>
      <c r="K47" s="44"/>
      <c r="L47" s="44"/>
      <c r="M47" s="44"/>
      <c r="N47" s="44"/>
      <c r="O47" s="51"/>
      <c r="R47" s="471"/>
      <c r="S47" s="471"/>
      <c r="T47" s="471"/>
      <c r="U47" s="471"/>
    </row>
    <row r="48" spans="1:21" x14ac:dyDescent="0.2">
      <c r="A48" s="105" t="str">
        <f>A26</f>
        <v>Spy</v>
      </c>
      <c r="B48" s="402">
        <f ca="1">Military!I52</f>
        <v>0</v>
      </c>
      <c r="D48" s="44"/>
      <c r="E48" s="44"/>
      <c r="F48" s="44"/>
      <c r="G48" s="44"/>
      <c r="I48" s="44"/>
      <c r="J48" s="44"/>
      <c r="K48" s="44"/>
      <c r="L48" s="50" t="s">
        <v>425</v>
      </c>
      <c r="M48" s="44"/>
      <c r="N48" s="44"/>
      <c r="O48" s="51"/>
    </row>
    <row r="49" spans="1:15" x14ac:dyDescent="0.2">
      <c r="A49" s="467" t="s">
        <v>1145</v>
      </c>
      <c r="B49" s="415">
        <f ca="1">Military!J52</f>
        <v>0</v>
      </c>
      <c r="C49" s="44"/>
      <c r="D49" s="5" t="s">
        <v>252</v>
      </c>
      <c r="E49" s="57" t="s">
        <v>353</v>
      </c>
      <c r="F49" s="45" t="s">
        <v>1009</v>
      </c>
      <c r="G49" s="44"/>
      <c r="H49" s="50" t="s">
        <v>254</v>
      </c>
      <c r="I49" s="44"/>
      <c r="J49" s="44"/>
      <c r="K49" s="44"/>
      <c r="L49" s="486" t="s">
        <v>450</v>
      </c>
      <c r="M49" s="487"/>
      <c r="N49" s="487"/>
      <c r="O49" s="488"/>
    </row>
    <row r="50" spans="1:15" x14ac:dyDescent="0.2">
      <c r="A50" s="416" t="str">
        <f>A28</f>
        <v>Wizard</v>
      </c>
      <c r="B50" s="417">
        <f ca="1">Military!K52</f>
        <v>0</v>
      </c>
      <c r="C50" s="44"/>
      <c r="D50" s="47" t="s">
        <v>1</v>
      </c>
      <c r="E50" s="466">
        <f ca="1">Construction!BT52</f>
        <v>50</v>
      </c>
      <c r="F50" s="106">
        <v>1</v>
      </c>
      <c r="G50" s="44"/>
      <c r="H50" s="45" t="s">
        <v>255</v>
      </c>
      <c r="I50" s="107" t="s">
        <v>188</v>
      </c>
      <c r="J50" s="57" t="s">
        <v>227</v>
      </c>
      <c r="K50" s="44"/>
      <c r="L50" s="487"/>
      <c r="M50" s="487"/>
      <c r="N50" s="487"/>
      <c r="O50" s="488"/>
    </row>
    <row r="51" spans="1:15" x14ac:dyDescent="0.2">
      <c r="A51" s="112" t="str">
        <f>A29</f>
        <v>Archmage</v>
      </c>
      <c r="B51" s="403">
        <f ca="1">Military!L52</f>
        <v>0</v>
      </c>
      <c r="C51" s="44"/>
      <c r="D51" s="108" t="str">
        <f>Construction!AY3</f>
        <v>Tot Hom</v>
      </c>
      <c r="E51" s="109">
        <f ca="1">Construction!AY52</f>
        <v>0</v>
      </c>
      <c r="F51" s="110">
        <f ca="1">E51/$E$50</f>
        <v>0</v>
      </c>
      <c r="G51" s="44"/>
      <c r="H51" s="45" t="s">
        <v>249</v>
      </c>
      <c r="I51" s="111">
        <f ca="1">C43/E50</f>
        <v>0</v>
      </c>
      <c r="J51" s="111">
        <f ca="1">E43/E50</f>
        <v>0</v>
      </c>
      <c r="K51" s="44"/>
      <c r="L51" s="487"/>
      <c r="M51" s="487"/>
      <c r="N51" s="487"/>
      <c r="O51" s="488"/>
    </row>
    <row r="52" spans="1:15" x14ac:dyDescent="0.2">
      <c r="A52" s="44"/>
      <c r="B52" s="44"/>
      <c r="C52" s="44"/>
      <c r="D52" s="108" t="str">
        <f>Construction!AZ3</f>
        <v>Tot Alc</v>
      </c>
      <c r="E52" s="45">
        <f ca="1">Construction!AZ52</f>
        <v>0</v>
      </c>
      <c r="F52" s="110">
        <f ca="1">E52/$E$50</f>
        <v>0</v>
      </c>
      <c r="G52" s="44"/>
      <c r="H52" s="45" t="s">
        <v>250</v>
      </c>
      <c r="I52" s="111">
        <f ca="1">F43/E50</f>
        <v>0</v>
      </c>
      <c r="J52" s="111">
        <f ca="1">H43/E50</f>
        <v>0</v>
      </c>
      <c r="K52" s="44"/>
      <c r="L52" s="487"/>
      <c r="M52" s="487"/>
      <c r="N52" s="487"/>
      <c r="O52" s="488"/>
    </row>
    <row r="53" spans="1:15" x14ac:dyDescent="0.2">
      <c r="A53" s="105" t="s">
        <v>266</v>
      </c>
      <c r="B53" s="402">
        <f ca="1">_xlfn.FLOOR.MATH(Production!N52)*(boat_size + tech_6_3_3*Techs!BH76)</f>
        <v>0</v>
      </c>
      <c r="C53" s="44"/>
      <c r="D53" s="108" t="str">
        <f>Construction!BA3</f>
        <v>Tot Farm</v>
      </c>
      <c r="E53" s="45">
        <f ca="1">Construction!BA52</f>
        <v>30</v>
      </c>
      <c r="F53" s="110">
        <f ca="1">E53/$E$50</f>
        <v>0.6</v>
      </c>
      <c r="G53" s="44"/>
      <c r="H53" s="45" t="s">
        <v>251</v>
      </c>
      <c r="I53" s="111">
        <f ca="1">(B48 + B49*2 + B41*D94*E94 + B41*D95*E95)/E50</f>
        <v>0</v>
      </c>
      <c r="J53" s="111">
        <f ca="1">I53*(1+I27)</f>
        <v>0</v>
      </c>
      <c r="K53" s="44"/>
      <c r="L53" s="487"/>
      <c r="M53" s="487"/>
      <c r="N53" s="487"/>
      <c r="O53" s="488"/>
    </row>
    <row r="54" spans="1:15" x14ac:dyDescent="0.2">
      <c r="A54" s="112" t="s">
        <v>374</v>
      </c>
      <c r="B54" s="403">
        <f>SUM(Imps!M4:'Imps'!M52)</f>
        <v>0</v>
      </c>
      <c r="C54" s="44"/>
      <c r="D54" s="108" t="str">
        <f>Construction!BB3</f>
        <v>Tot Smi</v>
      </c>
      <c r="E54" s="45">
        <f ca="1">Construction!BB52</f>
        <v>0</v>
      </c>
      <c r="F54" s="110">
        <f t="shared" ref="F54:F69" ca="1" si="0">E54/$E$50</f>
        <v>0</v>
      </c>
      <c r="G54" s="44"/>
      <c r="H54" s="45" t="s">
        <v>253</v>
      </c>
      <c r="I54" s="111">
        <f ca="1">(B51*2+B50 + B41*D96*E96 + B41*D97*E97)/E50</f>
        <v>0</v>
      </c>
      <c r="J54" s="111">
        <f ca="1">I54*(1+I28+Constants!O58*Techs!AL76)</f>
        <v>0</v>
      </c>
      <c r="K54" s="44"/>
      <c r="L54" s="487"/>
      <c r="M54" s="487"/>
      <c r="N54" s="487"/>
      <c r="O54" s="488"/>
    </row>
    <row r="55" spans="1:15" x14ac:dyDescent="0.2">
      <c r="C55" s="44"/>
      <c r="D55" s="108" t="str">
        <f>Construction!BC3</f>
        <v>Tot Mas</v>
      </c>
      <c r="E55" s="45">
        <f ca="1">Construction!BC52</f>
        <v>0</v>
      </c>
      <c r="F55" s="110">
        <f t="shared" ca="1" si="0"/>
        <v>0</v>
      </c>
      <c r="G55" s="44"/>
      <c r="H55" s="44"/>
      <c r="I55" s="44"/>
      <c r="J55" s="44"/>
      <c r="K55" s="44"/>
      <c r="L55" s="210"/>
      <c r="M55" s="470"/>
      <c r="N55" s="210"/>
      <c r="O55" s="51"/>
    </row>
    <row r="56" spans="1:15" x14ac:dyDescent="0.2">
      <c r="A56" s="113" t="s">
        <v>1</v>
      </c>
      <c r="B56" s="399">
        <f ca="1">E50</f>
        <v>50</v>
      </c>
      <c r="C56" s="44"/>
      <c r="D56" s="108" t="str">
        <f>Construction!BD3</f>
        <v>Tot Ly</v>
      </c>
      <c r="E56" s="45">
        <f ca="1">Construction!BD52</f>
        <v>20</v>
      </c>
      <c r="F56" s="110">
        <f t="shared" ca="1" si="0"/>
        <v>0.4</v>
      </c>
      <c r="G56" s="44"/>
      <c r="H56" s="50" t="s">
        <v>2</v>
      </c>
      <c r="I56" s="44"/>
      <c r="J56" s="44"/>
      <c r="K56" s="44"/>
      <c r="L56" s="210"/>
      <c r="M56" s="470"/>
      <c r="N56" s="210"/>
      <c r="O56" s="51"/>
    </row>
    <row r="57" spans="1:15" x14ac:dyDescent="0.2">
      <c r="A57" s="114" t="s">
        <v>21</v>
      </c>
      <c r="B57" s="400">
        <f ca="1">Population!C52</f>
        <v>292</v>
      </c>
      <c r="C57" s="44"/>
      <c r="D57" s="108" t="str">
        <f>Construction!BE3</f>
        <v>Tot Hav</v>
      </c>
      <c r="E57" s="45">
        <f ca="1">Construction!BE52</f>
        <v>0</v>
      </c>
      <c r="F57" s="110">
        <f t="shared" ca="1" si="0"/>
        <v>0</v>
      </c>
      <c r="G57" s="44"/>
      <c r="H57" s="45" t="s">
        <v>0</v>
      </c>
      <c r="I57" s="101" t="s">
        <v>216</v>
      </c>
      <c r="J57" s="45" t="s">
        <v>382</v>
      </c>
      <c r="K57" s="44"/>
      <c r="L57" s="210"/>
      <c r="M57" s="470"/>
      <c r="N57" s="210"/>
      <c r="O57" s="51"/>
    </row>
    <row r="58" spans="1:15" x14ac:dyDescent="0.2">
      <c r="A58" s="115" t="s">
        <v>24</v>
      </c>
      <c r="B58" s="401">
        <f ca="1">B44</f>
        <v>477</v>
      </c>
      <c r="C58" s="44"/>
      <c r="D58" s="108" t="str">
        <f>Construction!BF3</f>
        <v>Tot OM</v>
      </c>
      <c r="E58" s="45">
        <f ca="1">Construction!BF52</f>
        <v>0</v>
      </c>
      <c r="F58" s="110">
        <f t="shared" ca="1" si="0"/>
        <v>0</v>
      </c>
      <c r="G58" s="44"/>
      <c r="H58" s="116">
        <v>37</v>
      </c>
      <c r="I58" s="61">
        <f ca="1">Production!H40</f>
        <v>158460</v>
      </c>
      <c r="J58" s="61">
        <f ca="1">Production!H40+SUM(Military!AS4:AS40)</f>
        <v>158460</v>
      </c>
      <c r="K58" s="44"/>
      <c r="L58" s="210"/>
      <c r="M58" s="470"/>
      <c r="N58" s="210"/>
      <c r="O58" s="51"/>
    </row>
    <row r="59" spans="1:15" x14ac:dyDescent="0.2">
      <c r="A59" s="114" t="s">
        <v>230</v>
      </c>
      <c r="B59" s="400">
        <f ca="1">Production!G52</f>
        <v>1250</v>
      </c>
      <c r="C59" s="44"/>
      <c r="D59" s="108" t="str">
        <f>Construction!BG3</f>
        <v>Tot GN</v>
      </c>
      <c r="E59" s="45">
        <f ca="1">Construction!BG52</f>
        <v>0</v>
      </c>
      <c r="F59" s="110">
        <f t="shared" ca="1" si="0"/>
        <v>0</v>
      </c>
      <c r="G59" s="44"/>
      <c r="H59" s="116">
        <v>40</v>
      </c>
      <c r="I59" s="61">
        <f ca="1">Production!H43</f>
        <v>161091</v>
      </c>
      <c r="J59" s="61">
        <f ca="1">Production!H43+SUM(Military!AS5:AS43)</f>
        <v>161091</v>
      </c>
      <c r="K59" s="117"/>
      <c r="L59" s="210"/>
      <c r="M59" s="470"/>
      <c r="N59" s="210"/>
      <c r="O59" s="51"/>
    </row>
    <row r="60" spans="1:15" x14ac:dyDescent="0.2">
      <c r="A60" s="115" t="s">
        <v>265</v>
      </c>
      <c r="B60" s="401">
        <f ca="1">H43</f>
        <v>0</v>
      </c>
      <c r="C60" s="44"/>
      <c r="D60" s="108" t="str">
        <f>Construction!BJ3</f>
        <v>Tot Bar</v>
      </c>
      <c r="E60" s="45">
        <f ca="1">Construction!BJ52</f>
        <v>0</v>
      </c>
      <c r="F60" s="110">
        <f t="shared" ca="1" si="0"/>
        <v>0</v>
      </c>
      <c r="G60" s="44"/>
      <c r="H60" s="116" t="s">
        <v>229</v>
      </c>
      <c r="I60" s="61">
        <f ca="1">Production!H52</f>
        <v>168547</v>
      </c>
      <c r="J60" s="61">
        <f ca="1">Production!H52+SUM(Military!AS4:AS52)</f>
        <v>168547</v>
      </c>
      <c r="K60" s="117"/>
      <c r="L60" s="210"/>
      <c r="M60" s="470"/>
      <c r="N60" s="210"/>
      <c r="O60" s="51"/>
    </row>
    <row r="61" spans="1:15" x14ac:dyDescent="0.2">
      <c r="A61" s="114" t="s">
        <v>264</v>
      </c>
      <c r="B61" s="400">
        <f ca="1">E43</f>
        <v>0</v>
      </c>
      <c r="C61" s="44"/>
      <c r="D61" s="108" t="str">
        <f>Construction!BH3</f>
        <v>Tot Fac</v>
      </c>
      <c r="E61" s="45">
        <f ca="1">Construction!BH52</f>
        <v>0</v>
      </c>
      <c r="F61" s="110">
        <f t="shared" ca="1" si="0"/>
        <v>0</v>
      </c>
      <c r="G61" s="44"/>
      <c r="H61" s="44"/>
      <c r="I61" s="44"/>
      <c r="J61" s="44"/>
      <c r="K61" s="117"/>
      <c r="L61" s="210"/>
      <c r="M61" s="470"/>
      <c r="N61" s="210"/>
      <c r="O61" s="51"/>
    </row>
    <row r="62" spans="1:15" x14ac:dyDescent="0.2">
      <c r="A62" s="115" t="s">
        <v>6</v>
      </c>
      <c r="B62" s="401">
        <f ca="1">Production!S52</f>
        <v>788</v>
      </c>
      <c r="C62" s="44"/>
      <c r="D62" s="108" t="str">
        <f>Construction!BI3</f>
        <v>Tot GT</v>
      </c>
      <c r="E62" s="45">
        <f ca="1">Construction!BI52</f>
        <v>0</v>
      </c>
      <c r="F62" s="110">
        <f t="shared" ca="1" si="0"/>
        <v>0</v>
      </c>
      <c r="G62" s="44"/>
      <c r="H62" s="50" t="s">
        <v>275</v>
      </c>
      <c r="I62" s="44"/>
      <c r="J62" s="44"/>
      <c r="K62" s="44"/>
      <c r="L62" s="210"/>
      <c r="M62" s="470"/>
      <c r="N62" s="210"/>
      <c r="O62" s="51"/>
    </row>
    <row r="63" spans="1:15" x14ac:dyDescent="0.2">
      <c r="A63" s="114" t="s">
        <v>2</v>
      </c>
      <c r="B63" s="400">
        <f ca="1">Production!H$52</f>
        <v>168547</v>
      </c>
      <c r="C63" s="44"/>
      <c r="D63" s="108" t="str">
        <f>Construction!BK3</f>
        <v>Tot Shr</v>
      </c>
      <c r="E63" s="45">
        <f ca="1">Construction!BK52</f>
        <v>0</v>
      </c>
      <c r="F63" s="110">
        <f t="shared" ca="1" si="0"/>
        <v>0</v>
      </c>
      <c r="G63" s="44"/>
      <c r="H63" s="45" t="s">
        <v>276</v>
      </c>
      <c r="I63" s="92" t="s">
        <v>216</v>
      </c>
      <c r="J63" s="118" t="s">
        <v>381</v>
      </c>
      <c r="K63" s="44"/>
      <c r="L63" s="210"/>
      <c r="M63" s="470"/>
      <c r="N63" s="210"/>
      <c r="O63" s="51"/>
    </row>
    <row r="64" spans="1:15" x14ac:dyDescent="0.2">
      <c r="A64" s="115" t="s">
        <v>5</v>
      </c>
      <c r="B64" s="401">
        <f ca="1">Production!I$52</f>
        <v>100641</v>
      </c>
      <c r="C64" s="44"/>
      <c r="D64" s="108" t="str">
        <f>Construction!BL3</f>
        <v>Tot Tow</v>
      </c>
      <c r="E64" s="45">
        <f ca="1">Construction!BL52</f>
        <v>0</v>
      </c>
      <c r="F64" s="110">
        <f t="shared" ca="1" si="0"/>
        <v>0</v>
      </c>
      <c r="G64" s="44"/>
      <c r="H64" s="45" t="s">
        <v>277</v>
      </c>
      <c r="I64" s="94">
        <f ca="1">SUM(Construction!AQ4:AQ52)</f>
        <v>0</v>
      </c>
      <c r="J64" s="118">
        <f ca="1">IFERROR(Table18[[#This Row],[Amount]]/Table18[[#Totals],[Amount]],0)</f>
        <v>0</v>
      </c>
      <c r="K64" s="44"/>
      <c r="L64" s="210"/>
      <c r="M64" s="470"/>
      <c r="N64" s="210"/>
      <c r="O64" s="51"/>
    </row>
    <row r="65" spans="1:15" x14ac:dyDescent="0.2">
      <c r="A65" s="114" t="s">
        <v>7</v>
      </c>
      <c r="B65" s="400">
        <f ca="1">Production!J$52</f>
        <v>47529</v>
      </c>
      <c r="C65" s="44"/>
      <c r="D65" s="108" t="str">
        <f>Construction!BM3</f>
        <v>Tot Tem</v>
      </c>
      <c r="E65" s="45">
        <f ca="1">Construction!BM52</f>
        <v>0</v>
      </c>
      <c r="F65" s="110">
        <f t="shared" ca="1" si="0"/>
        <v>0</v>
      </c>
      <c r="G65" s="44"/>
      <c r="H65" s="45" t="s">
        <v>278</v>
      </c>
      <c r="I65" s="94">
        <f ca="1">SUM(Explore!AH4:AH52)</f>
        <v>0</v>
      </c>
      <c r="J65" s="118">
        <f ca="1">IFERROR(Table18[[#This Row],[Amount]]/Table18[[#Totals],[Amount]],0)</f>
        <v>0</v>
      </c>
      <c r="K65" s="44"/>
      <c r="L65" s="210"/>
      <c r="M65" s="470"/>
      <c r="N65" s="210"/>
      <c r="O65" s="51"/>
    </row>
    <row r="66" spans="1:15" x14ac:dyDescent="0.2">
      <c r="A66" s="115" t="s">
        <v>12</v>
      </c>
      <c r="B66" s="401">
        <f ca="1">Production!K$52</f>
        <v>0</v>
      </c>
      <c r="C66" s="44"/>
      <c r="D66" s="108" t="str">
        <f>Construction!BN3</f>
        <v>Tot WG</v>
      </c>
      <c r="E66" s="45">
        <f ca="1">Construction!BN52</f>
        <v>0</v>
      </c>
      <c r="F66" s="110">
        <f t="shared" ca="1" si="0"/>
        <v>0</v>
      </c>
      <c r="G66" s="44"/>
      <c r="H66" s="45" t="s">
        <v>22</v>
      </c>
      <c r="I66" s="94">
        <f ca="1">SUM(Military!AS4:AS52)</f>
        <v>0</v>
      </c>
      <c r="J66" s="118">
        <f ca="1">IFERROR(Table18[[#This Row],[Amount]]/Table18[[#Totals],[Amount]],0)</f>
        <v>0</v>
      </c>
      <c r="K66" s="44"/>
      <c r="L66" s="210"/>
      <c r="M66" s="470"/>
      <c r="N66" s="210"/>
      <c r="O66" s="51"/>
    </row>
    <row r="67" spans="1:15" x14ac:dyDescent="0.2">
      <c r="A67" s="114" t="s">
        <v>3</v>
      </c>
      <c r="B67" s="400">
        <f ca="1">Production!L$52</f>
        <v>0</v>
      </c>
      <c r="C67" s="44"/>
      <c r="D67" s="108" t="str">
        <f>Construction!BO3</f>
        <v>Tot DM</v>
      </c>
      <c r="E67" s="45">
        <f ca="1">Construction!BO52</f>
        <v>0</v>
      </c>
      <c r="F67" s="110">
        <f t="shared" ca="1" si="0"/>
        <v>0</v>
      </c>
      <c r="G67" s="44"/>
      <c r="H67" s="45" t="s">
        <v>190</v>
      </c>
      <c r="I67" s="94">
        <f ca="1">SUM(Rezone!Y4:Y52)</f>
        <v>0</v>
      </c>
      <c r="J67" s="118">
        <f ca="1">IFERROR(Table18[[#This Row],[Amount]]/Table18[[#Totals],[Amount]],0)</f>
        <v>0</v>
      </c>
      <c r="K67" s="44"/>
      <c r="L67" s="210"/>
      <c r="M67" s="470"/>
      <c r="N67" s="210"/>
      <c r="O67" s="51"/>
    </row>
    <row r="68" spans="1:15" x14ac:dyDescent="0.2">
      <c r="A68" s="115" t="s">
        <v>4</v>
      </c>
      <c r="B68" s="401">
        <f ca="1">Production!M$52</f>
        <v>0</v>
      </c>
      <c r="C68" s="44"/>
      <c r="D68" s="108" t="str">
        <f>Construction!BP3</f>
        <v>Tot Sch</v>
      </c>
      <c r="E68" s="45">
        <f ca="1">Construction!BP52</f>
        <v>0</v>
      </c>
      <c r="F68" s="110">
        <f t="shared" ca="1" si="0"/>
        <v>0</v>
      </c>
      <c r="G68" s="44"/>
      <c r="H68" s="45" t="s">
        <v>279</v>
      </c>
      <c r="I68" s="94">
        <f>SUM(Imps!AM4:AM52)</f>
        <v>0</v>
      </c>
      <c r="J68" s="118">
        <f ca="1">IFERROR(Table18[[#This Row],[Amount]]/Table18[[#Totals],[Amount]],0)</f>
        <v>0</v>
      </c>
      <c r="K68" s="44"/>
      <c r="L68" s="210"/>
      <c r="M68" s="470"/>
      <c r="N68" s="210"/>
      <c r="O68" s="51"/>
    </row>
    <row r="69" spans="1:15" x14ac:dyDescent="0.2">
      <c r="A69" s="114" t="s">
        <v>82</v>
      </c>
      <c r="B69" s="400">
        <f ca="1">Production!N$52</f>
        <v>0</v>
      </c>
      <c r="C69" s="44"/>
      <c r="D69" s="355" t="str">
        <f>Construction!BQ3</f>
        <v>Tot Doc</v>
      </c>
      <c r="E69" s="73">
        <f ca="1">Construction!BQ52</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Construction!DG52</f>
        <v>30</v>
      </c>
      <c r="F70" s="120">
        <f ca="1">E70/E50</f>
        <v>0.6</v>
      </c>
      <c r="G70" s="44"/>
      <c r="I70" s="44"/>
      <c r="K70" s="44"/>
      <c r="L70" s="44"/>
      <c r="M70" s="44"/>
      <c r="N70" s="44"/>
      <c r="O70" s="51"/>
    </row>
    <row r="71" spans="1:15" x14ac:dyDescent="0.2">
      <c r="A71" s="114" t="s">
        <v>274</v>
      </c>
      <c r="B71" s="400">
        <f>Construction!D52</f>
        <v>0</v>
      </c>
      <c r="C71" s="44"/>
      <c r="D71" s="5" t="s">
        <v>357</v>
      </c>
      <c r="E71" s="35">
        <f ca="1">E50-SUM(E51:E69)-B71</f>
        <v>0</v>
      </c>
      <c r="F71" s="123">
        <f ca="1">E71/E50</f>
        <v>0</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3" t="s">
        <v>286</v>
      </c>
      <c r="B76" s="484"/>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1129</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2.9999999999999996</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2.9999999999999996</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1132</v>
      </c>
      <c r="B89" s="124" t="s">
        <v>1141</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1132</v>
      </c>
      <c r="B98" s="124" t="s">
        <v>420</v>
      </c>
      <c r="C98" s="413">
        <f ca="1">MIN(B39,B42)*demonic_pact_oppair*IF(Magic!AQ76&gt;0,1,0)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C4" sqref="C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2" t="s">
        <v>23</v>
      </c>
      <c r="D1" s="532"/>
      <c r="E1" s="532"/>
      <c r="F1" s="532"/>
      <c r="G1" s="532"/>
      <c r="H1" s="532"/>
      <c r="I1" s="532"/>
      <c r="J1" s="28"/>
      <c r="K1" s="28"/>
      <c r="L1" s="532" t="s">
        <v>22</v>
      </c>
      <c r="M1" s="532"/>
      <c r="N1" s="532"/>
      <c r="O1" s="532"/>
      <c r="P1" s="532"/>
      <c r="Q1" s="532"/>
      <c r="R1" s="532"/>
      <c r="S1" s="532"/>
      <c r="U1" s="532" t="s">
        <v>163</v>
      </c>
      <c r="V1" s="533"/>
      <c r="W1" s="532" t="s">
        <v>167</v>
      </c>
      <c r="X1" s="532"/>
      <c r="Y1" s="532"/>
      <c r="Z1" s="532"/>
      <c r="AA1" s="532" t="s">
        <v>172</v>
      </c>
      <c r="AB1" s="533"/>
      <c r="AC1" s="533"/>
      <c r="AD1" s="533"/>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45815</v>
      </c>
      <c r="C4" s="378">
        <f ca="1">TblPop[[#This Row],[Net max]]-300</f>
        <v>469</v>
      </c>
      <c r="D4" s="94">
        <f ca="1">TblMili[[#This Row],[Military]]</f>
        <v>300</v>
      </c>
      <c r="E4" s="94">
        <f ca="1">TblMili[[#This Row],[Draftees]]</f>
        <v>300</v>
      </c>
      <c r="F4" s="94">
        <f ca="1">TblPop[[#This Row],[Peasants]]+TblPop[[#This Row],[Military]]</f>
        <v>769</v>
      </c>
      <c r="G4" s="139">
        <f ca="1">TblPop[[#This Row],[Military]]/TblPop[[#This Row],[Total]]</f>
        <v>0.39011703511053314</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-5</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x14ac:dyDescent="0.2">
      <c r="A5" s="137">
        <f>TblRezone[[#This Row],[Hour]]</f>
        <v>2</v>
      </c>
      <c r="B5" s="138">
        <f ca="1">TblImps[[#This Row],[Time]]</f>
        <v>45815.041666666664</v>
      </c>
      <c r="C5" s="94">
        <f ca="1">OFFSET(TblPop[[#This Row],[Peasants]],-1,0)+OFFSET(TblPop[[#This Row],[Net Peasant]],-1,0)+TblMili[[#This Row],[Release Draft]]</f>
        <v>464</v>
      </c>
      <c r="D5" s="94">
        <f ca="1">TblMili[[#This Row],[Military]]</f>
        <v>305</v>
      </c>
      <c r="E5" s="94">
        <f ca="1">TblMili[[#This Row],[Draftees]]</f>
        <v>305</v>
      </c>
      <c r="F5" s="94">
        <f ca="1">TblPop[[#This Row],[Peasants]]+TblPop[[#This Row],[Military]]</f>
        <v>769</v>
      </c>
      <c r="G5" s="139">
        <f ca="1">TblPop[[#This Row],[Military]]/TblPop[[#This Row],[Total]]</f>
        <v>0.39661898569570869</v>
      </c>
      <c r="H5" s="140">
        <f ca="1">MIN(TblPop[[#This Row],[Peasants]],TblPop[[#This Row],[Jobs]])</f>
        <v>464</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305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-5</v>
      </c>
      <c r="X5" s="94">
        <f ca="1">ROUND(TblPop[[#This Row],[Raw Birth]]*(1+TblPop[[#This Row],[Growth]]),0)</f>
        <v>14</v>
      </c>
      <c r="Y5" s="94">
        <f ca="1">(TblPop[[#This Row],[Peasants]]-TblPop[[#This Row],[Draft Growth]])*raw_pop_growth</f>
        <v>13.77</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x14ac:dyDescent="0.2">
      <c r="A6" s="137">
        <f>TblRezone[[#This Row],[Hour]]</f>
        <v>3</v>
      </c>
      <c r="B6" s="138">
        <f ca="1">TblImps[[#This Row],[Time]]</f>
        <v>45815.083333333328</v>
      </c>
      <c r="C6" s="94">
        <f ca="1">OFFSET(TblPop[[#This Row],[Peasants]],-1,0)+OFFSET(TblPop[[#This Row],[Net Peasant]],-1,0)+TblMili[[#This Row],[Release Draft]]</f>
        <v>459</v>
      </c>
      <c r="D6" s="94">
        <f ca="1">TblMili[[#This Row],[Military]]</f>
        <v>310</v>
      </c>
      <c r="E6" s="94">
        <f ca="1">TblMili[[#This Row],[Draftees]]</f>
        <v>310</v>
      </c>
      <c r="F6" s="94">
        <f ca="1">TblPop[[#This Row],[Peasants]]+TblPop[[#This Row],[Military]]</f>
        <v>769</v>
      </c>
      <c r="G6" s="139">
        <f ca="1">TblPop[[#This Row],[Military]]/TblPop[[#This Row],[Total]]</f>
        <v>0.40312093628088425</v>
      </c>
      <c r="H6" s="140">
        <f ca="1">MIN(TblPop[[#This Row],[Peasants]],TblPop[[#This Row],[Jobs]])</f>
        <v>459</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310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-5</v>
      </c>
      <c r="X6" s="94">
        <f ca="1">ROUND(TblPop[[#This Row],[Raw Birth]]*(1+TblPop[[#This Row],[Growth]]),0)</f>
        <v>14</v>
      </c>
      <c r="Y6" s="94">
        <f ca="1">(TblPop[[#This Row],[Peasants]]-TblPop[[#This Row],[Draft Growth]])*raw_pop_growth</f>
        <v>13.62</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x14ac:dyDescent="0.2">
      <c r="A7" s="137">
        <f>TblRezone[[#This Row],[Hour]]</f>
        <v>4</v>
      </c>
      <c r="B7" s="138">
        <f ca="1">TblImps[[#This Row],[Time]]</f>
        <v>45815.124999999993</v>
      </c>
      <c r="C7" s="94">
        <f ca="1">OFFSET(TblPop[[#This Row],[Peasants]],-1,0)+OFFSET(TblPop[[#This Row],[Net Peasant]],-1,0)+TblMili[[#This Row],[Release Draft]]</f>
        <v>454</v>
      </c>
      <c r="D7" s="94">
        <f ca="1">TblMili[[#This Row],[Military]]</f>
        <v>315</v>
      </c>
      <c r="E7" s="94">
        <f ca="1">TblMili[[#This Row],[Draftees]]</f>
        <v>315</v>
      </c>
      <c r="F7" s="94">
        <f ca="1">TblPop[[#This Row],[Peasants]]+TblPop[[#This Row],[Military]]</f>
        <v>769</v>
      </c>
      <c r="G7" s="139">
        <f ca="1">TblPop[[#This Row],[Military]]/TblPop[[#This Row],[Total]]</f>
        <v>0.4096228868660598</v>
      </c>
      <c r="H7" s="140">
        <f ca="1">MIN(TblPop[[#This Row],[Peasants]],TblPop[[#This Row],[Jobs]])</f>
        <v>454</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315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-5</v>
      </c>
      <c r="X7" s="94">
        <f ca="1">ROUND(TblPop[[#This Row],[Raw Birth]]*(1+TblPop[[#This Row],[Growth]]),0)</f>
        <v>13</v>
      </c>
      <c r="Y7" s="94">
        <f ca="1">(TblPop[[#This Row],[Peasants]]-TblPop[[#This Row],[Draft Growth]])*raw_pop_growth</f>
        <v>13.469999999999999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x14ac:dyDescent="0.2">
      <c r="A8" s="137">
        <f>TblRezone[[#This Row],[Hour]]</f>
        <v>5</v>
      </c>
      <c r="B8" s="138">
        <f ca="1">TblImps[[#This Row],[Time]]</f>
        <v>45815.166666666657</v>
      </c>
      <c r="C8" s="94">
        <f ca="1">OFFSET(TblPop[[#This Row],[Peasants]],-1,0)+OFFSET(TblPop[[#This Row],[Net Peasant]],-1,0)+TblMili[[#This Row],[Release Draft]]</f>
        <v>449</v>
      </c>
      <c r="D8" s="94">
        <f ca="1">TblMili[[#This Row],[Military]]</f>
        <v>320</v>
      </c>
      <c r="E8" s="94">
        <f ca="1">TblMili[[#This Row],[Draftees]]</f>
        <v>320</v>
      </c>
      <c r="F8" s="94">
        <f ca="1">TblPop[[#This Row],[Peasants]]+TblPop[[#This Row],[Military]]</f>
        <v>769</v>
      </c>
      <c r="G8" s="139">
        <f ca="1">TblPop[[#This Row],[Military]]/TblPop[[#This Row],[Total]]</f>
        <v>0.41612483745123535</v>
      </c>
      <c r="H8" s="140">
        <f ca="1">MIN(TblPop[[#This Row],[Peasants]],TblPop[[#This Row],[Jobs]])</f>
        <v>449</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320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-4</v>
      </c>
      <c r="X8" s="94">
        <f ca="1">ROUND(TblPop[[#This Row],[Raw Birth]]*(1+TblPop[[#This Row],[Growth]]),0)</f>
        <v>13</v>
      </c>
      <c r="Y8" s="94">
        <f ca="1">(TblPop[[#This Row],[Peasants]]-TblPop[[#This Row],[Draft Growth]])*raw_pop_growth</f>
        <v>13.35</v>
      </c>
      <c r="Z8" s="94">
        <f ca="1">ROUND(IF(TblPop[[#This Row],[Military%]]&lt;TblMili[[#This Row],[Draftrate]],ROUND(TblPop[[#This Row],[Peasants]]*Constants!$B$55,0), 0) * IF(AND(TblMagic[[#This Row],[Active DnD]]&lt;=12,TblMagic[[#This Row],[Active DnD]]&gt;6),1.6,1),0)</f>
        <v>4</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x14ac:dyDescent="0.2">
      <c r="A9" s="137">
        <f>TblRezone[[#This Row],[Hour]]</f>
        <v>6</v>
      </c>
      <c r="B9" s="138">
        <f ca="1">TblImps[[#This Row],[Time]]</f>
        <v>45815.208333333321</v>
      </c>
      <c r="C9" s="94">
        <f ca="1">OFFSET(TblPop[[#This Row],[Peasants]],-1,0)+OFFSET(TblPop[[#This Row],[Net Peasant]],-1,0)+TblMili[[#This Row],[Release Draft]]</f>
        <v>445</v>
      </c>
      <c r="D9" s="94">
        <f ca="1">TblMili[[#This Row],[Military]]</f>
        <v>324</v>
      </c>
      <c r="E9" s="94">
        <f ca="1">TblMili[[#This Row],[Draftees]]</f>
        <v>324</v>
      </c>
      <c r="F9" s="94">
        <f ca="1">TblPop[[#This Row],[Peasants]]+TblPop[[#This Row],[Military]]</f>
        <v>769</v>
      </c>
      <c r="G9" s="139">
        <f ca="1">TblPop[[#This Row],[Military]]/TblPop[[#This Row],[Total]]</f>
        <v>0.42132639791937582</v>
      </c>
      <c r="H9" s="140">
        <f ca="1">MIN(TblPop[[#This Row],[Peasants]],TblPop[[#This Row],[Jobs]])</f>
        <v>445</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324</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-4</v>
      </c>
      <c r="X9" s="94">
        <f ca="1">ROUND(TblPop[[#This Row],[Raw Birth]]*(1+TblPop[[#This Row],[Growth]]),0)</f>
        <v>13</v>
      </c>
      <c r="Y9" s="94">
        <f ca="1">(TblPop[[#This Row],[Peasants]]-TblPop[[#This Row],[Draft Growth]])*raw_pop_growth</f>
        <v>13.229999999999999</v>
      </c>
      <c r="Z9" s="94">
        <f ca="1">ROUND(IF(TblPop[[#This Row],[Military%]]&lt;TblMili[[#This Row],[Draftrate]],ROUND(TblPop[[#This Row],[Peasants]]*Constants!$B$55,0), 0) * IF(AND(TblMagic[[#This Row],[Active DnD]]&lt;=12,TblMagic[[#This Row],[Active DnD]]&gt;6),1.6,1),0)</f>
        <v>4</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x14ac:dyDescent="0.2">
      <c r="A10" s="137">
        <f>TblRezone[[#This Row],[Hour]]</f>
        <v>7</v>
      </c>
      <c r="B10" s="138">
        <f ca="1">TblImps[[#This Row],[Time]]</f>
        <v>45815.249999999985</v>
      </c>
      <c r="C10" s="94">
        <f ca="1">OFFSET(TblPop[[#This Row],[Peasants]],-1,0)+OFFSET(TblPop[[#This Row],[Net Peasant]],-1,0)+TblMili[[#This Row],[Release Draft]]</f>
        <v>441</v>
      </c>
      <c r="D10" s="94">
        <f ca="1">TblMili[[#This Row],[Military]]</f>
        <v>328</v>
      </c>
      <c r="E10" s="94">
        <f ca="1">TblMili[[#This Row],[Draftees]]</f>
        <v>328</v>
      </c>
      <c r="F10" s="94">
        <f ca="1">TblPop[[#This Row],[Peasants]]+TblPop[[#This Row],[Military]]</f>
        <v>769</v>
      </c>
      <c r="G10" s="139">
        <f ca="1">TblPop[[#This Row],[Military]]/TblPop[[#This Row],[Total]]</f>
        <v>0.42652795838751628</v>
      </c>
      <c r="H10" s="140">
        <f ca="1">MIN(TblPop[[#This Row],[Peasants]],TblPop[[#This Row],[Jobs]])</f>
        <v>441</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328</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-4</v>
      </c>
      <c r="X10" s="94">
        <f ca="1">ROUND(TblPop[[#This Row],[Raw Birth]]*(1+TblPop[[#This Row],[Growth]]),0)</f>
        <v>13</v>
      </c>
      <c r="Y10" s="94">
        <f ca="1">(TblPop[[#This Row],[Peasants]]-TblPop[[#This Row],[Draft Growth]])*raw_pop_growth</f>
        <v>13.11</v>
      </c>
      <c r="Z10" s="94">
        <f ca="1">ROUND(IF(TblPop[[#This Row],[Military%]]&lt;TblMili[[#This Row],[Draftrate]],ROUND(TblPop[[#This Row],[Peasants]]*Constants!$B$55,0), 0) * IF(AND(TblMagic[[#This Row],[Active DnD]]&lt;=12,TblMagic[[#This Row],[Active DnD]]&gt;6),1.6,1),0)</f>
        <v>4</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x14ac:dyDescent="0.2">
      <c r="A11" s="137">
        <f>TblRezone[[#This Row],[Hour]]</f>
        <v>8</v>
      </c>
      <c r="B11" s="138">
        <f ca="1">TblImps[[#This Row],[Time]]</f>
        <v>45815.29166666665</v>
      </c>
      <c r="C11" s="94">
        <f ca="1">OFFSET(TblPop[[#This Row],[Peasants]],-1,0)+OFFSET(TblPop[[#This Row],[Net Peasant]],-1,0)+TblMili[[#This Row],[Release Draft]]</f>
        <v>437</v>
      </c>
      <c r="D11" s="94">
        <f ca="1">TblMili[[#This Row],[Military]]</f>
        <v>332</v>
      </c>
      <c r="E11" s="94">
        <f ca="1">TblMili[[#This Row],[Draftees]]</f>
        <v>332</v>
      </c>
      <c r="F11" s="94">
        <f ca="1">TblPop[[#This Row],[Peasants]]+TblPop[[#This Row],[Military]]</f>
        <v>769</v>
      </c>
      <c r="G11" s="139">
        <f ca="1">TblPop[[#This Row],[Military]]/TblPop[[#This Row],[Total]]</f>
        <v>0.43172951885565669</v>
      </c>
      <c r="H11" s="140">
        <f ca="1">MIN(TblPop[[#This Row],[Peasants]],TblPop[[#This Row],[Jobs]])</f>
        <v>437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332</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-4</v>
      </c>
      <c r="X11" s="94">
        <f ca="1">ROUND(TblPop[[#This Row],[Raw Birth]]*(1+TblPop[[#This Row],[Growth]]),0)</f>
        <v>13</v>
      </c>
      <c r="Y11" s="94">
        <f ca="1">(TblPop[[#This Row],[Peasants]]-TblPop[[#This Row],[Draft Growth]])*raw_pop_growth</f>
        <v>12.99</v>
      </c>
      <c r="Z11" s="94">
        <f ca="1">ROUND(IF(TblPop[[#This Row],[Military%]]&lt;TblMili[[#This Row],[Draftrate]],ROUND(TblPop[[#This Row],[Peasants]]*Constants!$B$55,0), 0) * IF(AND(TblMagic[[#This Row],[Active DnD]]&lt;=12,TblMagic[[#This Row],[Active DnD]]&gt;6),1.6,1),0)</f>
        <v>4</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x14ac:dyDescent="0.2">
      <c r="A12" s="137">
        <f>TblRezone[[#This Row],[Hour]]</f>
        <v>9</v>
      </c>
      <c r="B12" s="138">
        <f ca="1">TblImps[[#This Row],[Time]]</f>
        <v>45815.333333333314</v>
      </c>
      <c r="C12" s="94">
        <f ca="1">OFFSET(TblPop[[#This Row],[Peasants]],-1,0)+OFFSET(TblPop[[#This Row],[Net Peasant]],-1,0)+TblMili[[#This Row],[Release Draft]]</f>
        <v>433</v>
      </c>
      <c r="D12" s="94">
        <f ca="1">TblMili[[#This Row],[Military]]</f>
        <v>336</v>
      </c>
      <c r="E12" s="94">
        <f ca="1">TblMili[[#This Row],[Draftees]]</f>
        <v>336</v>
      </c>
      <c r="F12" s="94">
        <f ca="1">TblPop[[#This Row],[Peasants]]+TblPop[[#This Row],[Military]]</f>
        <v>769</v>
      </c>
      <c r="G12" s="139">
        <f ca="1">TblPop[[#This Row],[Military]]/TblPop[[#This Row],[Total]]</f>
        <v>0.43693107932379716</v>
      </c>
      <c r="H12" s="140">
        <f ca="1">MIN(TblPop[[#This Row],[Peasants]],TblPop[[#This Row],[Jobs]])</f>
        <v>433</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336</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-4</v>
      </c>
      <c r="X12" s="94">
        <f ca="1">ROUND(TblPop[[#This Row],[Raw Birth]]*(1+TblPop[[#This Row],[Growth]]),0)</f>
        <v>13</v>
      </c>
      <c r="Y12" s="94">
        <f ca="1">(TblPop[[#This Row],[Peasants]]-TblPop[[#This Row],[Draft Growth]])*raw_pop_growth</f>
        <v>12.87</v>
      </c>
      <c r="Z12" s="94">
        <f ca="1">ROUND(IF(TblPop[[#This Row],[Military%]]&lt;TblMili[[#This Row],[Draftrate]],ROUND(TblPop[[#This Row],[Peasants]]*Constants!$B$55,0), 0) * IF(AND(TblMagic[[#This Row],[Active DnD]]&lt;=12,TblMagic[[#This Row],[Active DnD]]&gt;6),1.6,1),0)</f>
        <v>4</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x14ac:dyDescent="0.2">
      <c r="A13" s="137">
        <f>TblRezone[[#This Row],[Hour]]</f>
        <v>10</v>
      </c>
      <c r="B13" s="138">
        <f ca="1">TblImps[[#This Row],[Time]]</f>
        <v>45815.374999999978</v>
      </c>
      <c r="C13" s="94">
        <f ca="1">OFFSET(TblPop[[#This Row],[Peasants]],-1,0)+OFFSET(TblPop[[#This Row],[Net Peasant]],-1,0)+TblMili[[#This Row],[Release Draft]]</f>
        <v>429</v>
      </c>
      <c r="D13" s="94">
        <f ca="1">TblMili[[#This Row],[Military]]</f>
        <v>340</v>
      </c>
      <c r="E13" s="94">
        <f ca="1">TblMili[[#This Row],[Draftees]]</f>
        <v>340</v>
      </c>
      <c r="F13" s="94">
        <f ca="1">TblPop[[#This Row],[Peasants]]+TblPop[[#This Row],[Military]]</f>
        <v>769</v>
      </c>
      <c r="G13" s="139">
        <f ca="1">TblPop[[#This Row],[Military]]/TblPop[[#This Row],[Total]]</f>
        <v>0.44213263979193757</v>
      </c>
      <c r="H13" s="140">
        <f ca="1">MIN(TblPop[[#This Row],[Peasants]],TblPop[[#This Row],[Jobs]])</f>
        <v>429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340</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-4</v>
      </c>
      <c r="X13" s="94">
        <f ca="1">ROUND(TblPop[[#This Row],[Raw Birth]]*(1+TblPop[[#This Row],[Growth]]),0)</f>
        <v>13</v>
      </c>
      <c r="Y13" s="94">
        <f ca="1">(TblPop[[#This Row],[Peasants]]-TblPop[[#This Row],[Draft Growth]])*raw_pop_growth</f>
        <v>12.75</v>
      </c>
      <c r="Z13" s="94">
        <f ca="1">ROUND(IF(TblPop[[#This Row],[Military%]]&lt;TblMili[[#This Row],[Draftrate]],ROUND(TblPop[[#This Row],[Peasants]]*Constants!$B$55,0), 0) * IF(AND(TblMagic[[#This Row],[Active DnD]]&lt;=12,TblMagic[[#This Row],[Active DnD]]&gt;6),1.6,1),0)</f>
        <v>4</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x14ac:dyDescent="0.2">
      <c r="A14" s="137">
        <f>TblRezone[[#This Row],[Hour]]</f>
        <v>11</v>
      </c>
      <c r="B14" s="138">
        <f ca="1">TblImps[[#This Row],[Time]]</f>
        <v>45815.416666666642</v>
      </c>
      <c r="C14" s="94">
        <f ca="1">OFFSET(TblPop[[#This Row],[Peasants]],-1,0)+OFFSET(TblPop[[#This Row],[Net Peasant]],-1,0)+TblMili[[#This Row],[Release Draft]]</f>
        <v>425</v>
      </c>
      <c r="D14" s="94">
        <f ca="1">TblMili[[#This Row],[Military]]</f>
        <v>344</v>
      </c>
      <c r="E14" s="94">
        <f ca="1">TblMili[[#This Row],[Draftees]]</f>
        <v>344</v>
      </c>
      <c r="F14" s="94">
        <f ca="1">TblPop[[#This Row],[Peasants]]+TblPop[[#This Row],[Military]]</f>
        <v>769</v>
      </c>
      <c r="G14" s="139">
        <f ca="1">TblPop[[#This Row],[Military]]/TblPop[[#This Row],[Total]]</f>
        <v>0.44733420026007803</v>
      </c>
      <c r="H14" s="140">
        <f ca="1">MIN(TblPop[[#This Row],[Peasants]],TblPop[[#This Row],[Jobs]])</f>
        <v>425</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344</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-4</v>
      </c>
      <c r="X14" s="94">
        <f ca="1">ROUND(TblPop[[#This Row],[Raw Birth]]*(1+TblPop[[#This Row],[Growth]]),0)</f>
        <v>13</v>
      </c>
      <c r="Y14" s="94">
        <f ca="1">(TblPop[[#This Row],[Peasants]]-TblPop[[#This Row],[Draft Growth]])*raw_pop_growth</f>
        <v>12.629999999999999</v>
      </c>
      <c r="Z14" s="94">
        <f ca="1">ROUND(IF(TblPop[[#This Row],[Military%]]&lt;TblMili[[#This Row],[Draftrate]],ROUND(TblPop[[#This Row],[Peasants]]*Constants!$B$55,0), 0) * IF(AND(TblMagic[[#This Row],[Active DnD]]&lt;=12,TblMagic[[#This Row],[Active DnD]]&gt;6),1.6,1),0)</f>
        <v>4</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x14ac:dyDescent="0.2">
      <c r="A15" s="137">
        <f>TblRezone[[#This Row],[Hour]]</f>
        <v>12</v>
      </c>
      <c r="B15" s="138">
        <f ca="1">TblImps[[#This Row],[Time]]</f>
        <v>45815.458333333307</v>
      </c>
      <c r="C15" s="94">
        <f ca="1">OFFSET(TblPop[[#This Row],[Peasants]],-1,0)+OFFSET(TblPop[[#This Row],[Net Peasant]],-1,0)+TblMili[[#This Row],[Release Draft]]</f>
        <v>421</v>
      </c>
      <c r="D15" s="94">
        <f ca="1">TblMili[[#This Row],[Military]]</f>
        <v>348</v>
      </c>
      <c r="E15" s="94">
        <f ca="1">TblMili[[#This Row],[Draftees]]</f>
        <v>348</v>
      </c>
      <c r="F15" s="94">
        <f ca="1">TblPop[[#This Row],[Peasants]]+TblPop[[#This Row],[Military]]</f>
        <v>769</v>
      </c>
      <c r="G15" s="139">
        <f ca="1">TblPop[[#This Row],[Military]]/TblPop[[#This Row],[Total]]</f>
        <v>0.45253576072821844</v>
      </c>
      <c r="H15" s="140">
        <f ca="1">MIN(TblPop[[#This Row],[Peasants]],TblPop[[#This Row],[Jobs]])</f>
        <v>421</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348</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-4</v>
      </c>
      <c r="X15" s="94">
        <f ca="1">ROUND(TblPop[[#This Row],[Raw Birth]]*(1+TblPop[[#This Row],[Growth]]),0)</f>
        <v>13</v>
      </c>
      <c r="Y15" s="94">
        <f ca="1">(TblPop[[#This Row],[Peasants]]-TblPop[[#This Row],[Draft Growth]])*raw_pop_growth</f>
        <v>12.51</v>
      </c>
      <c r="Z15" s="94">
        <f ca="1">ROUND(IF(TblPop[[#This Row],[Military%]]&lt;TblMili[[#This Row],[Draftrate]],ROUND(TblPop[[#This Row],[Peasants]]*Constants!$B$55,0), 0) * IF(AND(TblMagic[[#This Row],[Active DnD]]&lt;=12,TblMagic[[#This Row],[Active DnD]]&gt;6),1.6,1),0)</f>
        <v>4</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45815.499999999971</v>
      </c>
      <c r="C16" s="94">
        <f ca="1">OFFSET(TblPop[[#This Row],[Peasants]],-1,0)+OFFSET(TblPop[[#This Row],[Net Peasant]],-1,0)+TblMili[[#This Row],[Release Draft]]</f>
        <v>417</v>
      </c>
      <c r="D16" s="94">
        <f ca="1">TblMili[[#This Row],[Military]]</f>
        <v>352</v>
      </c>
      <c r="E16" s="94">
        <f ca="1">TblMili[[#This Row],[Draftees]]</f>
        <v>352</v>
      </c>
      <c r="F16" s="94">
        <f ca="1">TblPop[[#This Row],[Peasants]]+TblPop[[#This Row],[Military]]</f>
        <v>769</v>
      </c>
      <c r="G16" s="139">
        <f ca="1">TblPop[[#This Row],[Military]]/TblPop[[#This Row],[Total]]</f>
        <v>0.4577373211963589</v>
      </c>
      <c r="H16" s="140">
        <f ca="1">MIN(TblPop[[#This Row],[Peasants]],TblPop[[#This Row],[Jobs]])</f>
        <v>417</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352</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-4</v>
      </c>
      <c r="X16" s="94">
        <f ca="1">ROUND(TblPop[[#This Row],[Raw Birth]]*(1+TblPop[[#This Row],[Growth]]),0)</f>
        <v>12</v>
      </c>
      <c r="Y16" s="94">
        <f ca="1">(TblPop[[#This Row],[Peasants]]-TblPop[[#This Row],[Draft Growth]])*raw_pop_growth</f>
        <v>12.389999999999999</v>
      </c>
      <c r="Z16" s="94">
        <f ca="1">ROUND(IF(TblPop[[#This Row],[Military%]]&lt;TblMili[[#This Row],[Draftrate]],ROUND(TblPop[[#This Row],[Peasants]]*Constants!$B$55,0), 0) * IF(AND(TblMagic[[#This Row],[Active DnD]]&lt;=12,TblMagic[[#This Row],[Active DnD]]&gt;6),1.6,1),0)</f>
        <v>4</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x14ac:dyDescent="0.2">
      <c r="A17" s="137">
        <f>TblRezone[[#This Row],[Hour]]</f>
        <v>14</v>
      </c>
      <c r="B17" s="138">
        <f ca="1">TblImps[[#This Row],[Time]]</f>
        <v>45815.541666666635</v>
      </c>
      <c r="C17" s="94">
        <f ca="1">OFFSET(TblPop[[#This Row],[Peasants]],-1,0)+OFFSET(TblPop[[#This Row],[Net Peasant]],-1,0)+TblMili[[#This Row],[Release Draft]]</f>
        <v>413</v>
      </c>
      <c r="D17" s="94">
        <f ca="1">TblMili[[#This Row],[Military]]</f>
        <v>356</v>
      </c>
      <c r="E17" s="94">
        <f ca="1">TblMili[[#This Row],[Draftees]]</f>
        <v>356</v>
      </c>
      <c r="F17" s="94">
        <f ca="1">TblPop[[#This Row],[Peasants]]+TblPop[[#This Row],[Military]]</f>
        <v>769</v>
      </c>
      <c r="G17" s="139">
        <f ca="1">TblPop[[#This Row],[Military]]/TblPop[[#This Row],[Total]]</f>
        <v>0.46293888166449937</v>
      </c>
      <c r="H17" s="140">
        <f ca="1">MIN(TblPop[[#This Row],[Peasants]],TblPop[[#This Row],[Jobs]])</f>
        <v>413</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356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-4</v>
      </c>
      <c r="X17" s="94">
        <f ca="1">ROUND(TblPop[[#This Row],[Raw Birth]]*(1+TblPop[[#This Row],[Growth]]),0)</f>
        <v>12</v>
      </c>
      <c r="Y17" s="94">
        <f ca="1">(TblPop[[#This Row],[Peasants]]-TblPop[[#This Row],[Draft Growth]])*raw_pop_growth</f>
        <v>12.27</v>
      </c>
      <c r="Z17" s="94">
        <f ca="1">ROUND(IF(TblPop[[#This Row],[Military%]]&lt;TblMili[[#This Row],[Draftrate]],ROUND(TblPop[[#This Row],[Peasants]]*Constants!$B$55,0), 0) * IF(AND(TblMagic[[#This Row],[Active DnD]]&lt;=12,TblMagic[[#This Row],[Active DnD]]&gt;6),1.6,1),0)</f>
        <v>4</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x14ac:dyDescent="0.2">
      <c r="A18" s="137">
        <f>TblRezone[[#This Row],[Hour]]</f>
        <v>15</v>
      </c>
      <c r="B18" s="138">
        <f ca="1">TblImps[[#This Row],[Time]]</f>
        <v>45815.583333333299</v>
      </c>
      <c r="C18" s="94">
        <f ca="1">OFFSET(TblPop[[#This Row],[Peasants]],-1,0)+OFFSET(TblPop[[#This Row],[Net Peasant]],-1,0)+TblMili[[#This Row],[Release Draft]]</f>
        <v>409</v>
      </c>
      <c r="D18" s="94">
        <f ca="1">TblMili[[#This Row],[Military]]</f>
        <v>360</v>
      </c>
      <c r="E18" s="94">
        <f ca="1">TblMili[[#This Row],[Draftees]]</f>
        <v>360</v>
      </c>
      <c r="F18" s="94">
        <f ca="1">TblPop[[#This Row],[Peasants]]+TblPop[[#This Row],[Military]]</f>
        <v>769</v>
      </c>
      <c r="G18" s="139">
        <f ca="1">TblPop[[#This Row],[Military]]/TblPop[[#This Row],[Total]]</f>
        <v>0.46814044213263978</v>
      </c>
      <c r="H18" s="140">
        <f ca="1">MIN(TblPop[[#This Row],[Peasants]],TblPop[[#This Row],[Jobs]])</f>
        <v>409</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360</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-4</v>
      </c>
      <c r="X18" s="94">
        <f ca="1">ROUND(TblPop[[#This Row],[Raw Birth]]*(1+TblPop[[#This Row],[Growth]]),0)</f>
        <v>12</v>
      </c>
      <c r="Y18" s="94">
        <f ca="1">(TblPop[[#This Row],[Peasants]]-TblPop[[#This Row],[Draft Growth]])*raw_pop_growth</f>
        <v>12.15</v>
      </c>
      <c r="Z18" s="94">
        <f ca="1">ROUND(IF(TblPop[[#This Row],[Military%]]&lt;TblMili[[#This Row],[Draftrate]],ROUND(TblPop[[#This Row],[Peasants]]*Constants!$B$55,0), 0) * IF(AND(TblMagic[[#This Row],[Active DnD]]&lt;=12,TblMagic[[#This Row],[Active DnD]]&gt;6),1.6,1),0)</f>
        <v>4</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x14ac:dyDescent="0.2">
      <c r="A19" s="137">
        <f>TblRezone[[#This Row],[Hour]]</f>
        <v>16</v>
      </c>
      <c r="B19" s="138">
        <f ca="1">TblImps[[#This Row],[Time]]</f>
        <v>45815.624999999964</v>
      </c>
      <c r="C19" s="94">
        <f ca="1">OFFSET(TblPop[[#This Row],[Peasants]],-1,0)+OFFSET(TblPop[[#This Row],[Net Peasant]],-1,0)+TblMili[[#This Row],[Release Draft]]</f>
        <v>405</v>
      </c>
      <c r="D19" s="94">
        <f ca="1">TblMili[[#This Row],[Military]]</f>
        <v>364</v>
      </c>
      <c r="E19" s="94">
        <f ca="1">TblMili[[#This Row],[Draftees]]</f>
        <v>364</v>
      </c>
      <c r="F19" s="94">
        <f ca="1">TblPop[[#This Row],[Peasants]]+TblPop[[#This Row],[Military]]</f>
        <v>769</v>
      </c>
      <c r="G19" s="139">
        <f ca="1">TblPop[[#This Row],[Military]]/TblPop[[#This Row],[Total]]</f>
        <v>0.47334200260078024</v>
      </c>
      <c r="H19" s="140">
        <f ca="1">MIN(TblPop[[#This Row],[Peasants]],TblPop[[#This Row],[Jobs]])</f>
        <v>405</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364</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-4</v>
      </c>
      <c r="X19" s="94">
        <f ca="1">ROUND(TblPop[[#This Row],[Raw Birth]]*(1+TblPop[[#This Row],[Growth]]),0)</f>
        <v>12</v>
      </c>
      <c r="Y19" s="94">
        <f ca="1">(TblPop[[#This Row],[Peasants]]-TblPop[[#This Row],[Draft Growth]])*raw_pop_growth</f>
        <v>12.03</v>
      </c>
      <c r="Z19" s="94">
        <f ca="1">ROUND(IF(TblPop[[#This Row],[Military%]]&lt;TblMili[[#This Row],[Draftrate]],ROUND(TblPop[[#This Row],[Peasants]]*Constants!$B$55,0), 0) * IF(AND(TblMagic[[#This Row],[Active DnD]]&lt;=12,TblMagic[[#This Row],[Active DnD]]&gt;6),1.6,1),0)</f>
        <v>4</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x14ac:dyDescent="0.2">
      <c r="A20" s="137">
        <f>TblRezone[[#This Row],[Hour]]</f>
        <v>17</v>
      </c>
      <c r="B20" s="138">
        <f ca="1">TblImps[[#This Row],[Time]]</f>
        <v>45815.666666666628</v>
      </c>
      <c r="C20" s="94">
        <f ca="1">OFFSET(TblPop[[#This Row],[Peasants]],-1,0)+OFFSET(TblPop[[#This Row],[Net Peasant]],-1,0)+TblMili[[#This Row],[Release Draft]]</f>
        <v>401</v>
      </c>
      <c r="D20" s="94">
        <f ca="1">TblMili[[#This Row],[Military]]</f>
        <v>368</v>
      </c>
      <c r="E20" s="94">
        <f ca="1">TblMili[[#This Row],[Draftees]]</f>
        <v>368</v>
      </c>
      <c r="F20" s="94">
        <f ca="1">TblPop[[#This Row],[Peasants]]+TblPop[[#This Row],[Military]]</f>
        <v>769</v>
      </c>
      <c r="G20" s="139">
        <f ca="1">TblPop[[#This Row],[Military]]/TblPop[[#This Row],[Total]]</f>
        <v>0.47854356306892065</v>
      </c>
      <c r="H20" s="140">
        <f ca="1">MIN(TblPop[[#This Row],[Peasants]],TblPop[[#This Row],[Jobs]])</f>
        <v>401</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368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-4</v>
      </c>
      <c r="X20" s="94">
        <f ca="1">ROUND(TblPop[[#This Row],[Raw Birth]]*(1+TblPop[[#This Row],[Growth]]),0)</f>
        <v>12</v>
      </c>
      <c r="Y20" s="94">
        <f ca="1">(TblPop[[#This Row],[Peasants]]-TblPop[[#This Row],[Draft Growth]])*raw_pop_growth</f>
        <v>11.91</v>
      </c>
      <c r="Z20" s="94">
        <f ca="1">ROUND(IF(TblPop[[#This Row],[Military%]]&lt;TblMili[[#This Row],[Draftrate]],ROUND(TblPop[[#This Row],[Peasants]]*Constants!$B$55,0), 0) * IF(AND(TblMagic[[#This Row],[Active DnD]]&lt;=12,TblMagic[[#This Row],[Active DnD]]&gt;6),1.6,1),0)</f>
        <v>4</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x14ac:dyDescent="0.2">
      <c r="A21" s="137">
        <f>TblRezone[[#This Row],[Hour]]</f>
        <v>18</v>
      </c>
      <c r="B21" s="138">
        <f ca="1">TblImps[[#This Row],[Time]]</f>
        <v>45815.708333333292</v>
      </c>
      <c r="C21" s="94">
        <f ca="1">OFFSET(TblPop[[#This Row],[Peasants]],-1,0)+OFFSET(TblPop[[#This Row],[Net Peasant]],-1,0)+TblMili[[#This Row],[Release Draft]]</f>
        <v>397</v>
      </c>
      <c r="D21" s="94">
        <f ca="1">TblMili[[#This Row],[Military]]</f>
        <v>372</v>
      </c>
      <c r="E21" s="94">
        <f ca="1">TblMili[[#This Row],[Draftees]]</f>
        <v>372</v>
      </c>
      <c r="F21" s="94">
        <f ca="1">TblPop[[#This Row],[Peasants]]+TblPop[[#This Row],[Military]]</f>
        <v>769</v>
      </c>
      <c r="G21" s="139">
        <f ca="1">TblPop[[#This Row],[Military]]/TblPop[[#This Row],[Total]]</f>
        <v>0.48374512353706112</v>
      </c>
      <c r="H21" s="140">
        <f ca="1">MIN(TblPop[[#This Row],[Peasants]],TblPop[[#This Row],[Jobs]])</f>
        <v>397</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372</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-4</v>
      </c>
      <c r="X21" s="94">
        <f ca="1">ROUND(TblPop[[#This Row],[Raw Birth]]*(1+TblPop[[#This Row],[Growth]]),0)</f>
        <v>12</v>
      </c>
      <c r="Y21" s="94">
        <f ca="1">(TblPop[[#This Row],[Peasants]]-TblPop[[#This Row],[Draft Growth]])*raw_pop_growth</f>
        <v>11.79</v>
      </c>
      <c r="Z21" s="94">
        <f ca="1">ROUND(IF(TblPop[[#This Row],[Military%]]&lt;TblMili[[#This Row],[Draftrate]],ROUND(TblPop[[#This Row],[Peasants]]*Constants!$B$55,0), 0) * IF(AND(TblMagic[[#This Row],[Active DnD]]&lt;=12,TblMagic[[#This Row],[Active DnD]]&gt;6),1.6,1),0)</f>
        <v>4</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x14ac:dyDescent="0.2">
      <c r="A22" s="137">
        <f>TblRezone[[#This Row],[Hour]]</f>
        <v>19</v>
      </c>
      <c r="B22" s="138">
        <f ca="1">TblImps[[#This Row],[Time]]</f>
        <v>45815.749999999956</v>
      </c>
      <c r="C22" s="94">
        <f ca="1">OFFSET(TblPop[[#This Row],[Peasants]],-1,0)+OFFSET(TblPop[[#This Row],[Net Peasant]],-1,0)+TblMili[[#This Row],[Release Draft]]</f>
        <v>393</v>
      </c>
      <c r="D22" s="94">
        <f ca="1">TblMili[[#This Row],[Military]]</f>
        <v>376</v>
      </c>
      <c r="E22" s="94">
        <f ca="1">TblMili[[#This Row],[Draftees]]</f>
        <v>376</v>
      </c>
      <c r="F22" s="94">
        <f ca="1">TblPop[[#This Row],[Peasants]]+TblPop[[#This Row],[Military]]</f>
        <v>769</v>
      </c>
      <c r="G22" s="139">
        <f ca="1">TblPop[[#This Row],[Military]]/TblPop[[#This Row],[Total]]</f>
        <v>0.48894668400520158</v>
      </c>
      <c r="H22" s="140">
        <f ca="1">MIN(TblPop[[#This Row],[Peasants]],TblPop[[#This Row],[Jobs]])</f>
        <v>393</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376</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-4</v>
      </c>
      <c r="X22" s="94">
        <f ca="1">ROUND(TblPop[[#This Row],[Raw Birth]]*(1+TblPop[[#This Row],[Growth]]),0)</f>
        <v>12</v>
      </c>
      <c r="Y22" s="94">
        <f ca="1">(TblPop[[#This Row],[Peasants]]-TblPop[[#This Row],[Draft Growth]])*raw_pop_growth</f>
        <v>11.67</v>
      </c>
      <c r="Z22" s="94">
        <f ca="1">ROUND(IF(TblPop[[#This Row],[Military%]]&lt;TblMili[[#This Row],[Draftrate]],ROUND(TblPop[[#This Row],[Peasants]]*Constants!$B$55,0), 0) * IF(AND(TblMagic[[#This Row],[Active DnD]]&lt;=12,TblMagic[[#This Row],[Active DnD]]&gt;6),1.6,1),0)</f>
        <v>4</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x14ac:dyDescent="0.2">
      <c r="A23" s="137">
        <f>TblRezone[[#This Row],[Hour]]</f>
        <v>20</v>
      </c>
      <c r="B23" s="138">
        <f ca="1">TblImps[[#This Row],[Time]]</f>
        <v>45815.791666666621</v>
      </c>
      <c r="C23" s="94">
        <f ca="1">OFFSET(TblPop[[#This Row],[Peasants]],-1,0)+OFFSET(TblPop[[#This Row],[Net Peasant]],-1,0)+TblMili[[#This Row],[Release Draft]]</f>
        <v>389</v>
      </c>
      <c r="D23" s="94">
        <f ca="1">TblMili[[#This Row],[Military]]</f>
        <v>380</v>
      </c>
      <c r="E23" s="94">
        <f ca="1">TblMili[[#This Row],[Draftees]]</f>
        <v>380</v>
      </c>
      <c r="F23" s="94">
        <f ca="1">TblPop[[#This Row],[Peasants]]+TblPop[[#This Row],[Military]]</f>
        <v>769</v>
      </c>
      <c r="G23" s="139">
        <f ca="1">TblPop[[#This Row],[Military]]/TblPop[[#This Row],[Total]]</f>
        <v>0.49414824447334199</v>
      </c>
      <c r="H23" s="140">
        <f ca="1">MIN(TblPop[[#This Row],[Peasants]],TblPop[[#This Row],[Jobs]])</f>
        <v>389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380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-4</v>
      </c>
      <c r="X23" s="94">
        <f ca="1">ROUND(TblPop[[#This Row],[Raw Birth]]*(1+TblPop[[#This Row],[Growth]]),0)</f>
        <v>12</v>
      </c>
      <c r="Y23" s="94">
        <f ca="1">(TblPop[[#This Row],[Peasants]]-TblPop[[#This Row],[Draft Growth]])*raw_pop_growth</f>
        <v>11.549999999999999</v>
      </c>
      <c r="Z23" s="94">
        <f ca="1">ROUND(IF(TblPop[[#This Row],[Military%]]&lt;TblMili[[#This Row],[Draftrate]],ROUND(TblPop[[#This Row],[Peasants]]*Constants!$B$55,0), 0) * IF(AND(TblMagic[[#This Row],[Active DnD]]&lt;=12,TblMagic[[#This Row],[Active DnD]]&gt;6),1.6,1),0)</f>
        <v>4</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x14ac:dyDescent="0.2">
      <c r="A24" s="137">
        <f>TblRezone[[#This Row],[Hour]]</f>
        <v>21</v>
      </c>
      <c r="B24" s="138">
        <f ca="1">TblImps[[#This Row],[Time]]</f>
        <v>45815.833333333285</v>
      </c>
      <c r="C24" s="94">
        <f ca="1">OFFSET(TblPop[[#This Row],[Peasants]],-1,0)+OFFSET(TblPop[[#This Row],[Net Peasant]],-1,0)+TblMili[[#This Row],[Release Draft]]</f>
        <v>385</v>
      </c>
      <c r="D24" s="94">
        <f ca="1">TblMili[[#This Row],[Military]]</f>
        <v>384</v>
      </c>
      <c r="E24" s="94">
        <f ca="1">TblMili[[#This Row],[Draftees]]</f>
        <v>384</v>
      </c>
      <c r="F24" s="94">
        <f ca="1">TblPop[[#This Row],[Peasants]]+TblPop[[#This Row],[Military]]</f>
        <v>769</v>
      </c>
      <c r="G24" s="139">
        <f ca="1">TblPop[[#This Row],[Military]]/TblPop[[#This Row],[Total]]</f>
        <v>0.49934980494148246</v>
      </c>
      <c r="H24" s="140">
        <f ca="1">MIN(TblPop[[#This Row],[Peasants]],TblPop[[#This Row],[Jobs]])</f>
        <v>385</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384</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-4</v>
      </c>
      <c r="X24" s="94">
        <f ca="1">ROUND(TblPop[[#This Row],[Raw Birth]]*(1+TblPop[[#This Row],[Growth]]),0)</f>
        <v>11</v>
      </c>
      <c r="Y24" s="94">
        <f ca="1">(TblPop[[#This Row],[Peasants]]-TblPop[[#This Row],[Draft Growth]])*raw_pop_growth</f>
        <v>11.43</v>
      </c>
      <c r="Z24" s="94">
        <f ca="1">ROUND(IF(TblPop[[#This Row],[Military%]]&lt;TblMili[[#This Row],[Draftrate]],ROUND(TblPop[[#This Row],[Peasants]]*Constants!$B$55,0), 0) * IF(AND(TblMagic[[#This Row],[Active DnD]]&lt;=12,TblMagic[[#This Row],[Active DnD]]&gt;6),1.6,1),0)</f>
        <v>4</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x14ac:dyDescent="0.2">
      <c r="A25" s="137">
        <f>TblRezone[[#This Row],[Hour]]</f>
        <v>22</v>
      </c>
      <c r="B25" s="138">
        <f ca="1">TblImps[[#This Row],[Time]]</f>
        <v>45815.874999999949</v>
      </c>
      <c r="C25" s="94">
        <f ca="1">OFFSET(TblPop[[#This Row],[Peasants]],-1,0)+OFFSET(TblPop[[#This Row],[Net Peasant]],-1,0)+TblMili[[#This Row],[Release Draft]]</f>
        <v>381</v>
      </c>
      <c r="D25" s="94">
        <f ca="1">TblMili[[#This Row],[Military]]</f>
        <v>388</v>
      </c>
      <c r="E25" s="94">
        <f ca="1">TblMili[[#This Row],[Draftees]]</f>
        <v>388</v>
      </c>
      <c r="F25" s="94">
        <f ca="1">TblPop[[#This Row],[Peasants]]+TblPop[[#This Row],[Military]]</f>
        <v>769</v>
      </c>
      <c r="G25" s="139">
        <f ca="1">TblPop[[#This Row],[Military]]/TblPop[[#This Row],[Total]]</f>
        <v>0.50455136540962287</v>
      </c>
      <c r="H25" s="140">
        <f ca="1">MIN(TblPop[[#This Row],[Peasants]],TblPop[[#This Row],[Jobs]])</f>
        <v>381</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388</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-4</v>
      </c>
      <c r="X25" s="94">
        <f ca="1">ROUND(TblPop[[#This Row],[Raw Birth]]*(1+TblPop[[#This Row],[Growth]]),0)</f>
        <v>11</v>
      </c>
      <c r="Y25" s="94">
        <f ca="1">(TblPop[[#This Row],[Peasants]]-TblPop[[#This Row],[Draft Growth]])*raw_pop_growth</f>
        <v>11.309999999999999</v>
      </c>
      <c r="Z25" s="94">
        <f ca="1">ROUND(IF(TblPop[[#This Row],[Military%]]&lt;TblMili[[#This Row],[Draftrate]],ROUND(TblPop[[#This Row],[Peasants]]*Constants!$B$55,0), 0) * IF(AND(TblMagic[[#This Row],[Active DnD]]&lt;=12,TblMagic[[#This Row],[Active DnD]]&gt;6),1.6,1),0)</f>
        <v>4</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x14ac:dyDescent="0.2">
      <c r="A26" s="137">
        <f>TblRezone[[#This Row],[Hour]]</f>
        <v>23</v>
      </c>
      <c r="B26" s="138">
        <f ca="1">TblImps[[#This Row],[Time]]</f>
        <v>45815.916666666613</v>
      </c>
      <c r="C26" s="94">
        <f ca="1">OFFSET(TblPop[[#This Row],[Peasants]],-1,0)+OFFSET(TblPop[[#This Row],[Net Peasant]],-1,0)+TblMili[[#This Row],[Release Draft]]</f>
        <v>377</v>
      </c>
      <c r="D26" s="94">
        <f ca="1">TblMili[[#This Row],[Military]]</f>
        <v>392</v>
      </c>
      <c r="E26" s="94">
        <f ca="1">TblMili[[#This Row],[Draftees]]</f>
        <v>392</v>
      </c>
      <c r="F26" s="94">
        <f ca="1">TblPop[[#This Row],[Peasants]]+TblPop[[#This Row],[Military]]</f>
        <v>769</v>
      </c>
      <c r="G26" s="139">
        <f ca="1">TblPop[[#This Row],[Military]]/TblPop[[#This Row],[Total]]</f>
        <v>0.50975292587776333</v>
      </c>
      <c r="H26" s="140">
        <f ca="1">MIN(TblPop[[#This Row],[Peasants]],TblPop[[#This Row],[Jobs]])</f>
        <v>377</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392</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-4</v>
      </c>
      <c r="X26" s="94">
        <f ca="1">ROUND(TblPop[[#This Row],[Raw Birth]]*(1+TblPop[[#This Row],[Growth]]),0)</f>
        <v>11</v>
      </c>
      <c r="Y26" s="94">
        <f ca="1">(TblPop[[#This Row],[Peasants]]-TblPop[[#This Row],[Draft Growth]])*raw_pop_growth</f>
        <v>11.19</v>
      </c>
      <c r="Z26" s="94">
        <f ca="1">ROUND(IF(TblPop[[#This Row],[Military%]]&lt;TblMili[[#This Row],[Draftrate]],ROUND(TblPop[[#This Row],[Peasants]]*Constants!$B$55,0), 0) * IF(AND(TblMagic[[#This Row],[Active DnD]]&lt;=12,TblMagic[[#This Row],[Active DnD]]&gt;6),1.6,1),0)</f>
        <v>4</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x14ac:dyDescent="0.2">
      <c r="A27" s="137">
        <f>TblRezone[[#This Row],[Hour]]</f>
        <v>24</v>
      </c>
      <c r="B27" s="138">
        <f ca="1">TblImps[[#This Row],[Time]]</f>
        <v>45815.958333333278</v>
      </c>
      <c r="C27" s="94">
        <f ca="1">OFFSET(TblPop[[#This Row],[Peasants]],-1,0)+OFFSET(TblPop[[#This Row],[Net Peasant]],-1,0)+TblMili[[#This Row],[Release Draft]]</f>
        <v>373</v>
      </c>
      <c r="D27" s="94">
        <f ca="1">TblMili[[#This Row],[Military]]</f>
        <v>396</v>
      </c>
      <c r="E27" s="94">
        <f ca="1">TblMili[[#This Row],[Draftees]]</f>
        <v>396</v>
      </c>
      <c r="F27" s="94">
        <f ca="1">TblPop[[#This Row],[Peasants]]+TblPop[[#This Row],[Military]]</f>
        <v>769</v>
      </c>
      <c r="G27" s="139">
        <f ca="1">TblPop[[#This Row],[Military]]/TblPop[[#This Row],[Total]]</f>
        <v>0.51495448634590379</v>
      </c>
      <c r="H27" s="140">
        <f ca="1">MIN(TblPop[[#This Row],[Peasants]],TblPop[[#This Row],[Jobs]])</f>
        <v>373</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396</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-4</v>
      </c>
      <c r="X27" s="94">
        <f ca="1">ROUND(TblPop[[#This Row],[Raw Birth]]*(1+TblPop[[#This Row],[Growth]]),0)</f>
        <v>11</v>
      </c>
      <c r="Y27" s="94">
        <f ca="1">(TblPop[[#This Row],[Peasants]]-TblPop[[#This Row],[Draft Growth]])*raw_pop_growth</f>
        <v>11.07</v>
      </c>
      <c r="Z27" s="94">
        <f ca="1">ROUND(IF(TblPop[[#This Row],[Military%]]&lt;TblMili[[#This Row],[Draftrate]],ROUND(TblPop[[#This Row],[Peasants]]*Constants!$B$55,0), 0) * IF(AND(TblMagic[[#This Row],[Active DnD]]&lt;=12,TblMagic[[#This Row],[Active DnD]]&gt;6),1.6,1),0)</f>
        <v>4</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45815.999999999942</v>
      </c>
      <c r="C28" s="94">
        <f ca="1">OFFSET(TblPop[[#This Row],[Peasants]],-1,0)+OFFSET(TblPop[[#This Row],[Net Peasant]],-1,0)+TblMili[[#This Row],[Release Draft]]</f>
        <v>369</v>
      </c>
      <c r="D28" s="94">
        <f ca="1">TblMili[[#This Row],[Military]]</f>
        <v>400</v>
      </c>
      <c r="E28" s="94">
        <f ca="1">TblMili[[#This Row],[Draftees]]</f>
        <v>400</v>
      </c>
      <c r="F28" s="94">
        <f ca="1">TblPop[[#This Row],[Peasants]]+TblPop[[#This Row],[Military]]</f>
        <v>769</v>
      </c>
      <c r="G28" s="139">
        <f ca="1">TblPop[[#This Row],[Military]]/TblPop[[#This Row],[Total]]</f>
        <v>0.52015604681404426</v>
      </c>
      <c r="H28" s="140">
        <f ca="1">MIN(TblPop[[#This Row],[Peasants]],TblPop[[#This Row],[Jobs]])</f>
        <v>369</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400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-4</v>
      </c>
      <c r="X28" s="94">
        <f ca="1">ROUND(TblPop[[#This Row],[Raw Birth]]*(1+TblPop[[#This Row],[Growth]]),0)</f>
        <v>11</v>
      </c>
      <c r="Y28" s="94">
        <f ca="1">(TblPop[[#This Row],[Peasants]]-TblPop[[#This Row],[Draft Growth]])*raw_pop_growth</f>
        <v>10.95</v>
      </c>
      <c r="Z28" s="94">
        <f ca="1">ROUND(IF(TblPop[[#This Row],[Military%]]&lt;TblMili[[#This Row],[Draftrate]],ROUND(TblPop[[#This Row],[Peasants]]*Constants!$B$55,0), 0) * IF(AND(TblMagic[[#This Row],[Active DnD]]&lt;=12,TblMagic[[#This Row],[Active DnD]]&gt;6),1.6,1),0)</f>
        <v>4</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45816.041666666606</v>
      </c>
      <c r="C29" s="94">
        <f ca="1">OFFSET(TblPop[[#This Row],[Peasants]],-1,0)+OFFSET(TblPop[[#This Row],[Net Peasant]],-1,0)+TblMili[[#This Row],[Release Draft]]</f>
        <v>365</v>
      </c>
      <c r="D29" s="94">
        <f ca="1">TblMili[[#This Row],[Military]]</f>
        <v>404</v>
      </c>
      <c r="E29" s="94">
        <f ca="1">TblMili[[#This Row],[Draftees]]</f>
        <v>404</v>
      </c>
      <c r="F29" s="94">
        <f ca="1">TblPop[[#This Row],[Peasants]]+TblPop[[#This Row],[Military]]</f>
        <v>769</v>
      </c>
      <c r="G29" s="139">
        <f ca="1">TblPop[[#This Row],[Military]]/TblPop[[#This Row],[Total]]</f>
        <v>0.52535760728218461</v>
      </c>
      <c r="H29" s="140">
        <f ca="1">MIN(TblPop[[#This Row],[Peasants]],TblPop[[#This Row],[Jobs]])</f>
        <v>365</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404</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-4</v>
      </c>
      <c r="X29" s="94">
        <f ca="1">ROUND(TblPop[[#This Row],[Raw Birth]]*(1+TblPop[[#This Row],[Growth]]),0)</f>
        <v>11</v>
      </c>
      <c r="Y29" s="94">
        <f ca="1">(TblPop[[#This Row],[Peasants]]-TblPop[[#This Row],[Draft Growth]])*raw_pop_growth</f>
        <v>10.83</v>
      </c>
      <c r="Z29" s="94">
        <f ca="1">ROUND(IF(TblPop[[#This Row],[Military%]]&lt;TblMili[[#This Row],[Draftrate]],ROUND(TblPop[[#This Row],[Peasants]]*Constants!$B$55,0), 0) * IF(AND(TblMagic[[#This Row],[Active DnD]]&lt;=12,TblMagic[[#This Row],[Active DnD]]&gt;6),1.6,1),0)</f>
        <v>4</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45816.08333333327</v>
      </c>
      <c r="C30" s="94">
        <f ca="1">OFFSET(TblPop[[#This Row],[Peasants]],-1,0)+OFFSET(TblPop[[#This Row],[Net Peasant]],-1,0)+TblMili[[#This Row],[Release Draft]]</f>
        <v>361</v>
      </c>
      <c r="D30" s="94">
        <f ca="1">TblMili[[#This Row],[Military]]</f>
        <v>408</v>
      </c>
      <c r="E30" s="94">
        <f ca="1">TblMili[[#This Row],[Draftees]]</f>
        <v>408</v>
      </c>
      <c r="F30" s="94">
        <f ca="1">TblPop[[#This Row],[Peasants]]+TblPop[[#This Row],[Military]]</f>
        <v>769</v>
      </c>
      <c r="G30" s="139">
        <f ca="1">TblPop[[#This Row],[Military]]/TblPop[[#This Row],[Total]]</f>
        <v>0.53055916775032508</v>
      </c>
      <c r="H30" s="140">
        <f ca="1">MIN(TblPop[[#This Row],[Peasants]],TblPop[[#This Row],[Jobs]])</f>
        <v>361</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408</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-4</v>
      </c>
      <c r="X30" s="94">
        <f ca="1">ROUND(TblPop[[#This Row],[Raw Birth]]*(1+TblPop[[#This Row],[Growth]]),0)</f>
        <v>11</v>
      </c>
      <c r="Y30" s="94">
        <f ca="1">(TblPop[[#This Row],[Peasants]]-TblPop[[#This Row],[Draft Growth]])*raw_pop_growth</f>
        <v>10.709999999999999</v>
      </c>
      <c r="Z30" s="94">
        <f ca="1">ROUND(IF(TblPop[[#This Row],[Military%]]&lt;TblMili[[#This Row],[Draftrate]],ROUND(TblPop[[#This Row],[Peasants]]*Constants!$B$55,0), 0) * IF(AND(TblMagic[[#This Row],[Active DnD]]&lt;=12,TblMagic[[#This Row],[Active DnD]]&gt;6),1.6,1),0)</f>
        <v>4</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45816.124999999935</v>
      </c>
      <c r="C31" s="94">
        <f ca="1">OFFSET(TblPop[[#This Row],[Peasants]],-1,0)+OFFSET(TblPop[[#This Row],[Net Peasant]],-1,0)+TblMili[[#This Row],[Release Draft]]</f>
        <v>357</v>
      </c>
      <c r="D31" s="94">
        <f ca="1">TblMili[[#This Row],[Military]]</f>
        <v>412</v>
      </c>
      <c r="E31" s="94">
        <f ca="1">TblMili[[#This Row],[Draftees]]</f>
        <v>412</v>
      </c>
      <c r="F31" s="94">
        <f ca="1">TblPop[[#This Row],[Peasants]]+TblPop[[#This Row],[Military]]</f>
        <v>769</v>
      </c>
      <c r="G31" s="139">
        <f ca="1">TblPop[[#This Row],[Military]]/TblPop[[#This Row],[Total]]</f>
        <v>0.53576072821846554</v>
      </c>
      <c r="H31" s="140">
        <f ca="1">MIN(TblPop[[#This Row],[Peasants]],TblPop[[#This Row],[Jobs]])</f>
        <v>357</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412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-4</v>
      </c>
      <c r="X31" s="94">
        <f ca="1">ROUND(TblPop[[#This Row],[Raw Birth]]*(1+TblPop[[#This Row],[Growth]]),0)</f>
        <v>11</v>
      </c>
      <c r="Y31" s="94">
        <f ca="1">(TblPop[[#This Row],[Peasants]]-TblPop[[#This Row],[Draft Growth]])*raw_pop_growth</f>
        <v>10.59</v>
      </c>
      <c r="Z31" s="94">
        <f ca="1">ROUND(IF(TblPop[[#This Row],[Military%]]&lt;TblMili[[#This Row],[Draftrate]],ROUND(TblPop[[#This Row],[Peasants]]*Constants!$B$55,0), 0) * IF(AND(TblMagic[[#This Row],[Active DnD]]&lt;=12,TblMagic[[#This Row],[Active DnD]]&gt;6),1.6,1),0)</f>
        <v>4</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45816.166666666599</v>
      </c>
      <c r="C32" s="94">
        <f ca="1">OFFSET(TblPop[[#This Row],[Peasants]],-1,0)+OFFSET(TblPop[[#This Row],[Net Peasant]],-1,0)+TblMili[[#This Row],[Release Draft]]</f>
        <v>353</v>
      </c>
      <c r="D32" s="94">
        <f ca="1">TblMili[[#This Row],[Military]]</f>
        <v>416</v>
      </c>
      <c r="E32" s="94">
        <f ca="1">TblMili[[#This Row],[Draftees]]</f>
        <v>416</v>
      </c>
      <c r="F32" s="94">
        <f ca="1">TblPop[[#This Row],[Peasants]]+TblPop[[#This Row],[Military]]</f>
        <v>769</v>
      </c>
      <c r="G32" s="139">
        <f ca="1">TblPop[[#This Row],[Military]]/TblPop[[#This Row],[Total]]</f>
        <v>0.54096228868660601</v>
      </c>
      <c r="H32" s="140">
        <f ca="1">MIN(TblPop[[#This Row],[Peasants]],TblPop[[#This Row],[Jobs]])</f>
        <v>353</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416</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-4</v>
      </c>
      <c r="X32" s="94">
        <f ca="1">ROUND(TblPop[[#This Row],[Raw Birth]]*(1+TblPop[[#This Row],[Growth]]),0)</f>
        <v>10</v>
      </c>
      <c r="Y32" s="94">
        <f ca="1">(TblPop[[#This Row],[Peasants]]-TblPop[[#This Row],[Draft Growth]])*raw_pop_growth</f>
        <v>10.469999999999999</v>
      </c>
      <c r="Z32" s="94">
        <f ca="1">ROUND(IF(TblPop[[#This Row],[Military%]]&lt;TblMili[[#This Row],[Draftrate]],ROUND(TblPop[[#This Row],[Peasants]]*Constants!$B$55,0), 0) * IF(AND(TblMagic[[#This Row],[Active DnD]]&lt;=12,TblMagic[[#This Row],[Active DnD]]&gt;6),1.6,1),0)</f>
        <v>4</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45816.208333333263</v>
      </c>
      <c r="C33" s="94">
        <f ca="1">OFFSET(TblPop[[#This Row],[Peasants]],-1,0)+OFFSET(TblPop[[#This Row],[Net Peasant]],-1,0)+TblMili[[#This Row],[Release Draft]]</f>
        <v>349</v>
      </c>
      <c r="D33" s="94">
        <f ca="1">TblMili[[#This Row],[Military]]</f>
        <v>420</v>
      </c>
      <c r="E33" s="94">
        <f ca="1">TblMili[[#This Row],[Draftees]]</f>
        <v>420</v>
      </c>
      <c r="F33" s="94">
        <f ca="1">TblPop[[#This Row],[Peasants]]+TblPop[[#This Row],[Military]]</f>
        <v>769</v>
      </c>
      <c r="G33" s="139">
        <f ca="1">TblPop[[#This Row],[Military]]/TblPop[[#This Row],[Total]]</f>
        <v>0.54616384915474647</v>
      </c>
      <c r="H33" s="140">
        <f ca="1">MIN(TblPop[[#This Row],[Peasants]],TblPop[[#This Row],[Jobs]])</f>
        <v>349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420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-3</v>
      </c>
      <c r="X33" s="94">
        <f ca="1">ROUND(TblPop[[#This Row],[Raw Birth]]*(1+TblPop[[#This Row],[Growth]]),0)</f>
        <v>10</v>
      </c>
      <c r="Y33" s="94">
        <f ca="1">(TblPop[[#This Row],[Peasants]]-TblPop[[#This Row],[Draft Growth]])*raw_pop_growth</f>
        <v>10.379999999999999</v>
      </c>
      <c r="Z33" s="94">
        <f ca="1">ROUND(IF(TblPop[[#This Row],[Military%]]&lt;TblMili[[#This Row],[Draftrate]],ROUND(TblPop[[#This Row],[Peasants]]*Constants!$B$55,0), 0) * IF(AND(TblMagic[[#This Row],[Active DnD]]&lt;=12,TblMagic[[#This Row],[Active DnD]]&gt;6),1.6,1),0)</f>
        <v>3</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45816.249999999927</v>
      </c>
      <c r="C34" s="94">
        <f ca="1">OFFSET(TblPop[[#This Row],[Peasants]],-1,0)+OFFSET(TblPop[[#This Row],[Net Peasant]],-1,0)+TblMili[[#This Row],[Release Draft]]</f>
        <v>346</v>
      </c>
      <c r="D34" s="94">
        <f ca="1">TblMili[[#This Row],[Military]]</f>
        <v>423</v>
      </c>
      <c r="E34" s="94">
        <f ca="1">TblMili[[#This Row],[Draftees]]</f>
        <v>423</v>
      </c>
      <c r="F34" s="94">
        <f ca="1">TblPop[[#This Row],[Peasants]]+TblPop[[#This Row],[Military]]</f>
        <v>769</v>
      </c>
      <c r="G34" s="139">
        <f ca="1">TblPop[[#This Row],[Military]]/TblPop[[#This Row],[Total]]</f>
        <v>0.55006501950585174</v>
      </c>
      <c r="H34" s="140">
        <f ca="1">MIN(TblPop[[#This Row],[Peasants]],TblPop[[#This Row],[Jobs]])</f>
        <v>346</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423</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-3</v>
      </c>
      <c r="X34" s="94">
        <f ca="1">ROUND(TblPop[[#This Row],[Raw Birth]]*(1+TblPop[[#This Row],[Growth]]),0)</f>
        <v>10</v>
      </c>
      <c r="Y34" s="94">
        <f ca="1">(TblPop[[#This Row],[Peasants]]-TblPop[[#This Row],[Draft Growth]])*raw_pop_growth</f>
        <v>10.29</v>
      </c>
      <c r="Z34" s="94">
        <f ca="1">ROUND(IF(TblPop[[#This Row],[Military%]]&lt;TblMili[[#This Row],[Draftrate]],ROUND(TblPop[[#This Row],[Peasants]]*Constants!$B$55,0), 0) * IF(AND(TblMagic[[#This Row],[Active DnD]]&lt;=12,TblMagic[[#This Row],[Active DnD]]&gt;6),1.6,1),0)</f>
        <v>3</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45816.291666666591</v>
      </c>
      <c r="C35" s="94">
        <f ca="1">OFFSET(TblPop[[#This Row],[Peasants]],-1,0)+OFFSET(TblPop[[#This Row],[Net Peasant]],-1,0)+TblMili[[#This Row],[Release Draft]]</f>
        <v>343</v>
      </c>
      <c r="D35" s="94">
        <f ca="1">TblMili[[#This Row],[Military]]</f>
        <v>426</v>
      </c>
      <c r="E35" s="94">
        <f ca="1">TblMili[[#This Row],[Draftees]]</f>
        <v>426</v>
      </c>
      <c r="F35" s="94">
        <f ca="1">TblPop[[#This Row],[Peasants]]+TblPop[[#This Row],[Military]]</f>
        <v>769</v>
      </c>
      <c r="G35" s="139">
        <f ca="1">TblPop[[#This Row],[Military]]/TblPop[[#This Row],[Total]]</f>
        <v>0.55396618985695711</v>
      </c>
      <c r="H35" s="140">
        <f ca="1">MIN(TblPop[[#This Row],[Peasants]],TblPop[[#This Row],[Jobs]])</f>
        <v>343</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426</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-3</v>
      </c>
      <c r="X35" s="94">
        <f ca="1">ROUND(TblPop[[#This Row],[Raw Birth]]*(1+TblPop[[#This Row],[Growth]]),0)</f>
        <v>10</v>
      </c>
      <c r="Y35" s="94">
        <f ca="1">(TblPop[[#This Row],[Peasants]]-TblPop[[#This Row],[Draft Growth]])*raw_pop_growth</f>
        <v>10.199999999999999</v>
      </c>
      <c r="Z35" s="94">
        <f ca="1">ROUND(IF(TblPop[[#This Row],[Military%]]&lt;TblMili[[#This Row],[Draftrate]],ROUND(TblPop[[#This Row],[Peasants]]*Constants!$B$55,0), 0) * IF(AND(TblMagic[[#This Row],[Active DnD]]&lt;=12,TblMagic[[#This Row],[Active DnD]]&gt;6),1.6,1),0)</f>
        <v>3</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45816.333333333256</v>
      </c>
      <c r="C36" s="94">
        <f ca="1">OFFSET(TblPop[[#This Row],[Peasants]],-1,0)+OFFSET(TblPop[[#This Row],[Net Peasant]],-1,0)+TblMili[[#This Row],[Release Draft]]</f>
        <v>340</v>
      </c>
      <c r="D36" s="94">
        <f ca="1">TblMili[[#This Row],[Military]]</f>
        <v>429</v>
      </c>
      <c r="E36" s="94">
        <f ca="1">TblMili[[#This Row],[Draftees]]</f>
        <v>429</v>
      </c>
      <c r="F36" s="94">
        <f ca="1">TblPop[[#This Row],[Peasants]]+TblPop[[#This Row],[Military]]</f>
        <v>769</v>
      </c>
      <c r="G36" s="139">
        <f ca="1">TblPop[[#This Row],[Military]]/TblPop[[#This Row],[Total]]</f>
        <v>0.55786736020806238</v>
      </c>
      <c r="H36" s="140">
        <f ca="1">MIN(TblPop[[#This Row],[Peasants]],TblPop[[#This Row],[Jobs]])</f>
        <v>340</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429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-3</v>
      </c>
      <c r="X36" s="94">
        <f ca="1">ROUND(TblPop[[#This Row],[Raw Birth]]*(1+TblPop[[#This Row],[Growth]]),0)</f>
        <v>10</v>
      </c>
      <c r="Y36" s="94">
        <f ca="1">(TblPop[[#This Row],[Peasants]]-TblPop[[#This Row],[Draft Growth]])*raw_pop_growth</f>
        <v>10.11</v>
      </c>
      <c r="Z36" s="94">
        <f ca="1">ROUND(IF(TblPop[[#This Row],[Military%]]&lt;TblMili[[#This Row],[Draftrate]],ROUND(TblPop[[#This Row],[Peasants]]*Constants!$B$55,0), 0) * IF(AND(TblMagic[[#This Row],[Active DnD]]&lt;=12,TblMagic[[#This Row],[Active DnD]]&gt;6),1.6,1),0)</f>
        <v>3</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45816.37499999992</v>
      </c>
      <c r="C37" s="94">
        <f ca="1">OFFSET(TblPop[[#This Row],[Peasants]],-1,0)+OFFSET(TblPop[[#This Row],[Net Peasant]],-1,0)+TblMili[[#This Row],[Release Draft]]</f>
        <v>337</v>
      </c>
      <c r="D37" s="94">
        <f ca="1">TblMili[[#This Row],[Military]]</f>
        <v>432</v>
      </c>
      <c r="E37" s="94">
        <f ca="1">TblMili[[#This Row],[Draftees]]</f>
        <v>432</v>
      </c>
      <c r="F37" s="94">
        <f ca="1">TblPop[[#This Row],[Peasants]]+TblPop[[#This Row],[Military]]</f>
        <v>769</v>
      </c>
      <c r="G37" s="139">
        <f ca="1">TblPop[[#This Row],[Military]]/TblPop[[#This Row],[Total]]</f>
        <v>0.56176853055916776</v>
      </c>
      <c r="H37" s="140">
        <f ca="1">MIN(TblPop[[#This Row],[Peasants]],TblPop[[#This Row],[Jobs]])</f>
        <v>337</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432</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-3</v>
      </c>
      <c r="X37" s="94">
        <f ca="1">ROUND(TblPop[[#This Row],[Raw Birth]]*(1+TblPop[[#This Row],[Growth]]),0)</f>
        <v>10</v>
      </c>
      <c r="Y37" s="94">
        <f ca="1">(TblPop[[#This Row],[Peasants]]-TblPop[[#This Row],[Draft Growth]])*raw_pop_growth</f>
        <v>10.02</v>
      </c>
      <c r="Z37" s="94">
        <f ca="1">ROUND(IF(TblPop[[#This Row],[Military%]]&lt;TblMili[[#This Row],[Draftrate]],ROUND(TblPop[[#This Row],[Peasants]]*Constants!$B$55,0), 0) * IF(AND(TblMagic[[#This Row],[Active DnD]]&lt;=12,TblMagic[[#This Row],[Active DnD]]&gt;6),1.6,1),0)</f>
        <v>3</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45816.416666666584</v>
      </c>
      <c r="C38" s="94">
        <f ca="1">OFFSET(TblPop[[#This Row],[Peasants]],-1,0)+OFFSET(TblPop[[#This Row],[Net Peasant]],-1,0)+TblMili[[#This Row],[Release Draft]]</f>
        <v>334</v>
      </c>
      <c r="D38" s="94">
        <f ca="1">TblMili[[#This Row],[Military]]</f>
        <v>435</v>
      </c>
      <c r="E38" s="94">
        <f ca="1">TblMili[[#This Row],[Draftees]]</f>
        <v>435</v>
      </c>
      <c r="F38" s="94">
        <f ca="1">TblPop[[#This Row],[Peasants]]+TblPop[[#This Row],[Military]]</f>
        <v>769</v>
      </c>
      <c r="G38" s="139">
        <f ca="1">TblPop[[#This Row],[Military]]/TblPop[[#This Row],[Total]]</f>
        <v>0.56566970091027313</v>
      </c>
      <c r="H38" s="140">
        <f ca="1">MIN(TblPop[[#This Row],[Peasants]],TblPop[[#This Row],[Jobs]])</f>
        <v>334</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435</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-3</v>
      </c>
      <c r="X38" s="94">
        <f ca="1">ROUND(TblPop[[#This Row],[Raw Birth]]*(1+TblPop[[#This Row],[Growth]]),0)</f>
        <v>10</v>
      </c>
      <c r="Y38" s="94">
        <f ca="1">(TblPop[[#This Row],[Peasants]]-TblPop[[#This Row],[Draft Growth]])*raw_pop_growth</f>
        <v>9.93</v>
      </c>
      <c r="Z38" s="94">
        <f ca="1">ROUND(IF(TblPop[[#This Row],[Military%]]&lt;TblMili[[#This Row],[Draftrate]],ROUND(TblPop[[#This Row],[Peasants]]*Constants!$B$55,0), 0) * IF(AND(TblMagic[[#This Row],[Active DnD]]&lt;=12,TblMagic[[#This Row],[Active DnD]]&gt;6),1.6,1),0)</f>
        <v>3</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45816.458333333248</v>
      </c>
      <c r="C39" s="94">
        <f ca="1">OFFSET(TblPop[[#This Row],[Peasants]],-1,0)+OFFSET(TblPop[[#This Row],[Net Peasant]],-1,0)+TblMili[[#This Row],[Release Draft]]</f>
        <v>331</v>
      </c>
      <c r="D39" s="94">
        <f ca="1">TblMili[[#This Row],[Military]]</f>
        <v>438</v>
      </c>
      <c r="E39" s="94">
        <f ca="1">TblMili[[#This Row],[Draftees]]</f>
        <v>438</v>
      </c>
      <c r="F39" s="94">
        <f ca="1">TblPop[[#This Row],[Peasants]]+TblPop[[#This Row],[Military]]</f>
        <v>769</v>
      </c>
      <c r="G39" s="139">
        <f ca="1">TblPop[[#This Row],[Military]]/TblPop[[#This Row],[Total]]</f>
        <v>0.5695708712613784</v>
      </c>
      <c r="H39" s="140">
        <f ca="1">MIN(TblPop[[#This Row],[Peasants]],TblPop[[#This Row],[Jobs]])</f>
        <v>331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438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-3</v>
      </c>
      <c r="X39" s="94">
        <f ca="1">ROUND(TblPop[[#This Row],[Raw Birth]]*(1+TblPop[[#This Row],[Growth]]),0)</f>
        <v>10</v>
      </c>
      <c r="Y39" s="94">
        <f ca="1">(TblPop[[#This Row],[Peasants]]-TblPop[[#This Row],[Draft Growth]])*raw_pop_growth</f>
        <v>9.84</v>
      </c>
      <c r="Z39" s="94">
        <f ca="1">ROUND(IF(TblPop[[#This Row],[Military%]]&lt;TblMili[[#This Row],[Draftrate]],ROUND(TblPop[[#This Row],[Peasants]]*Constants!$B$55,0), 0) * IF(AND(TblMagic[[#This Row],[Active DnD]]&lt;=12,TblMagic[[#This Row],[Active DnD]]&gt;6),1.6,1),0)</f>
        <v>3</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45816.499999999913</v>
      </c>
      <c r="C40" s="94">
        <f ca="1">OFFSET(TblPop[[#This Row],[Peasants]],-1,0)+OFFSET(TblPop[[#This Row],[Net Peasant]],-1,0)+TblMili[[#This Row],[Release Draft]]</f>
        <v>328</v>
      </c>
      <c r="D40" s="94">
        <f ca="1">TblMili[[#This Row],[Military]]</f>
        <v>441</v>
      </c>
      <c r="E40" s="94">
        <f ca="1">TblMili[[#This Row],[Draftees]]</f>
        <v>441</v>
      </c>
      <c r="F40" s="94">
        <f ca="1">TblPop[[#This Row],[Peasants]]+TblPop[[#This Row],[Military]]</f>
        <v>769</v>
      </c>
      <c r="G40" s="139">
        <f ca="1">TblPop[[#This Row],[Military]]/TblPop[[#This Row],[Total]]</f>
        <v>0.57347204161248377</v>
      </c>
      <c r="H40" s="140">
        <f ca="1">MIN(TblPop[[#This Row],[Peasants]],TblPop[[#This Row],[Jobs]])</f>
        <v>328</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441</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-3</v>
      </c>
      <c r="X40" s="94">
        <f ca="1">ROUND(TblPop[[#This Row],[Raw Birth]]*(1+TblPop[[#This Row],[Growth]]),0)</f>
        <v>10</v>
      </c>
      <c r="Y40" s="94">
        <f ca="1">(TblPop[[#This Row],[Peasants]]-TblPop[[#This Row],[Draft Growth]])*raw_pop_growth</f>
        <v>9.75</v>
      </c>
      <c r="Z40" s="94">
        <f ca="1">ROUND(IF(TblPop[[#This Row],[Military%]]&lt;TblMili[[#This Row],[Draftrate]],ROUND(TblPop[[#This Row],[Peasants]]*Constants!$B$55,0), 0) * IF(AND(TblMagic[[#This Row],[Active DnD]]&lt;=12,TblMagic[[#This Row],[Active DnD]]&gt;6),1.6,1),0)</f>
        <v>3</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45816.541666666577</v>
      </c>
      <c r="C41" s="94">
        <f ca="1">OFFSET(TblPop[[#This Row],[Peasants]],-1,0)+OFFSET(TblPop[[#This Row],[Net Peasant]],-1,0)+TblMili[[#This Row],[Release Draft]]</f>
        <v>325</v>
      </c>
      <c r="D41" s="94">
        <f ca="1">TblMili[[#This Row],[Military]]</f>
        <v>444</v>
      </c>
      <c r="E41" s="94">
        <f ca="1">TblMili[[#This Row],[Draftees]]</f>
        <v>444</v>
      </c>
      <c r="F41" s="94">
        <f ca="1">TblPop[[#This Row],[Peasants]]+TblPop[[#This Row],[Military]]</f>
        <v>769</v>
      </c>
      <c r="G41" s="139">
        <f ca="1">TblPop[[#This Row],[Military]]/TblPop[[#This Row],[Total]]</f>
        <v>0.57737321196358904</v>
      </c>
      <c r="H41" s="140">
        <f ca="1">MIN(TblPop[[#This Row],[Peasants]],TblPop[[#This Row],[Jobs]])</f>
        <v>325</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444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-3</v>
      </c>
      <c r="X41" s="94">
        <f ca="1">ROUND(TblPop[[#This Row],[Raw Birth]]*(1+TblPop[[#This Row],[Growth]]),0)</f>
        <v>10</v>
      </c>
      <c r="Y41" s="94">
        <f ca="1">(TblPop[[#This Row],[Peasants]]-TblPop[[#This Row],[Draft Growth]])*raw_pop_growth</f>
        <v>9.66</v>
      </c>
      <c r="Z41" s="94">
        <f ca="1">ROUND(IF(TblPop[[#This Row],[Military%]]&lt;TblMili[[#This Row],[Draftrate]],ROUND(TblPop[[#This Row],[Peasants]]*Constants!$B$55,0), 0) * IF(AND(TblMagic[[#This Row],[Active DnD]]&lt;=12,TblMagic[[#This Row],[Active DnD]]&gt;6),1.6,1),0)</f>
        <v>3</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45816.583333333241</v>
      </c>
      <c r="C42" s="94">
        <f ca="1">OFFSET(TblPop[[#This Row],[Peasants]],-1,0)+OFFSET(TblPop[[#This Row],[Net Peasant]],-1,0)+TblMili[[#This Row],[Release Draft]]</f>
        <v>322</v>
      </c>
      <c r="D42" s="94">
        <f ca="1">TblMili[[#This Row],[Military]]</f>
        <v>447</v>
      </c>
      <c r="E42" s="94">
        <f ca="1">TblMili[[#This Row],[Draftees]]</f>
        <v>447</v>
      </c>
      <c r="F42" s="94">
        <f ca="1">TblPop[[#This Row],[Peasants]]+TblPop[[#This Row],[Military]]</f>
        <v>769</v>
      </c>
      <c r="G42" s="139">
        <f ca="1">TblPop[[#This Row],[Military]]/TblPop[[#This Row],[Total]]</f>
        <v>0.58127438231469442</v>
      </c>
      <c r="H42" s="140">
        <f ca="1">MIN(TblPop[[#This Row],[Peasants]],TblPop[[#This Row],[Jobs]])</f>
        <v>322</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447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-3</v>
      </c>
      <c r="X42" s="94">
        <f ca="1">ROUND(TblPop[[#This Row],[Raw Birth]]*(1+TblPop[[#This Row],[Growth]]),0)</f>
        <v>10</v>
      </c>
      <c r="Y42" s="94">
        <f ca="1">(TblPop[[#This Row],[Peasants]]-TblPop[[#This Row],[Draft Growth]])*raw_pop_growth</f>
        <v>9.57</v>
      </c>
      <c r="Z42" s="94">
        <f ca="1">ROUND(IF(TblPop[[#This Row],[Military%]]&lt;TblMili[[#This Row],[Draftrate]],ROUND(TblPop[[#This Row],[Peasants]]*Constants!$B$55,0), 0) * IF(AND(TblMagic[[#This Row],[Active DnD]]&lt;=12,TblMagic[[#This Row],[Active DnD]]&gt;6),1.6,1),0)</f>
        <v>3</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45816.624999999905</v>
      </c>
      <c r="C43" s="94">
        <f ca="1">OFFSET(TblPop[[#This Row],[Peasants]],-1,0)+OFFSET(TblPop[[#This Row],[Net Peasant]],-1,0)+TblMili[[#This Row],[Release Draft]]</f>
        <v>319</v>
      </c>
      <c r="D43" s="94">
        <f ca="1">TblMili[[#This Row],[Military]]</f>
        <v>450</v>
      </c>
      <c r="E43" s="94">
        <f ca="1">TblMili[[#This Row],[Draftees]]</f>
        <v>450</v>
      </c>
      <c r="F43" s="94">
        <f ca="1">TblPop[[#This Row],[Peasants]]+TblPop[[#This Row],[Military]]</f>
        <v>769</v>
      </c>
      <c r="G43" s="139">
        <f ca="1">TblPop[[#This Row],[Military]]/TblPop[[#This Row],[Total]]</f>
        <v>0.58517555266579979</v>
      </c>
      <c r="H43" s="140">
        <f ca="1">MIN(TblPop[[#This Row],[Peasants]],TblPop[[#This Row],[Jobs]])</f>
        <v>319</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450</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-3</v>
      </c>
      <c r="X43" s="94">
        <f ca="1">ROUND(TblPop[[#This Row],[Raw Birth]]*(1+TblPop[[#This Row],[Growth]]),0)</f>
        <v>9</v>
      </c>
      <c r="Y43" s="94">
        <f ca="1">(TblPop[[#This Row],[Peasants]]-TblPop[[#This Row],[Draft Growth]])*raw_pop_growth</f>
        <v>9.48</v>
      </c>
      <c r="Z43" s="94">
        <f ca="1">ROUND(IF(TblPop[[#This Row],[Military%]]&lt;TblMili[[#This Row],[Draftrate]],ROUND(TblPop[[#This Row],[Peasants]]*Constants!$B$55,0), 0) * IF(AND(TblMagic[[#This Row],[Active DnD]]&lt;=12,TblMagic[[#This Row],[Active DnD]]&gt;6),1.6,1),0)</f>
        <v>3</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45816.66666666657</v>
      </c>
      <c r="C44" s="94">
        <f ca="1">OFFSET(TblPop[[#This Row],[Peasants]],-1,0)+OFFSET(TblPop[[#This Row],[Net Peasant]],-1,0)+TblMili[[#This Row],[Release Draft]]</f>
        <v>316</v>
      </c>
      <c r="D44" s="94">
        <f ca="1">TblMili[[#This Row],[Military]]</f>
        <v>453</v>
      </c>
      <c r="E44" s="94">
        <f ca="1">TblMili[[#This Row],[Draftees]]</f>
        <v>453</v>
      </c>
      <c r="F44" s="94">
        <f ca="1">TblPop[[#This Row],[Peasants]]+TblPop[[#This Row],[Military]]</f>
        <v>769</v>
      </c>
      <c r="G44" s="139">
        <f ca="1">TblPop[[#This Row],[Military]]/TblPop[[#This Row],[Total]]</f>
        <v>0.58907672301690506</v>
      </c>
      <c r="H44" s="140">
        <f ca="1">MIN(TblPop[[#This Row],[Peasants]],TblPop[[#This Row],[Jobs]])</f>
        <v>316</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453</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-3</v>
      </c>
      <c r="X44" s="94">
        <f ca="1">ROUND(TblPop[[#This Row],[Raw Birth]]*(1+TblPop[[#This Row],[Growth]]),0)</f>
        <v>9</v>
      </c>
      <c r="Y44" s="94">
        <f ca="1">(TblPop[[#This Row],[Peasants]]-TblPop[[#This Row],[Draft Growth]])*raw_pop_growth</f>
        <v>9.3899999999999988</v>
      </c>
      <c r="Z44" s="94">
        <f ca="1">ROUND(IF(TblPop[[#This Row],[Military%]]&lt;TblMili[[#This Row],[Draftrate]],ROUND(TblPop[[#This Row],[Peasants]]*Constants!$B$55,0), 0) * IF(AND(TblMagic[[#This Row],[Active DnD]]&lt;=12,TblMagic[[#This Row],[Active DnD]]&gt;6),1.6,1),0)</f>
        <v>3</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45816.708333333234</v>
      </c>
      <c r="C45" s="94">
        <f ca="1">OFFSET(TblPop[[#This Row],[Peasants]],-1,0)+OFFSET(TblPop[[#This Row],[Net Peasant]],-1,0)+TblMili[[#This Row],[Release Draft]]</f>
        <v>313</v>
      </c>
      <c r="D45" s="94">
        <f ca="1">TblMili[[#This Row],[Military]]</f>
        <v>456</v>
      </c>
      <c r="E45" s="94">
        <f ca="1">TblMili[[#This Row],[Draftees]]</f>
        <v>456</v>
      </c>
      <c r="F45" s="94">
        <f ca="1">TblPop[[#This Row],[Peasants]]+TblPop[[#This Row],[Military]]</f>
        <v>769</v>
      </c>
      <c r="G45" s="139">
        <f ca="1">TblPop[[#This Row],[Military]]/TblPop[[#This Row],[Total]]</f>
        <v>0.59297789336801043</v>
      </c>
      <c r="H45" s="140">
        <f ca="1">MIN(TblPop[[#This Row],[Peasants]],TblPop[[#This Row],[Jobs]])</f>
        <v>313</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456</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-3</v>
      </c>
      <c r="X45" s="94">
        <f ca="1">ROUND(TblPop[[#This Row],[Raw Birth]]*(1+TblPop[[#This Row],[Growth]]),0)</f>
        <v>9</v>
      </c>
      <c r="Y45" s="94">
        <f ca="1">(TblPop[[#This Row],[Peasants]]-TblPop[[#This Row],[Draft Growth]])*raw_pop_growth</f>
        <v>9.2999999999999989</v>
      </c>
      <c r="Z45" s="94">
        <f ca="1">ROUND(IF(TblPop[[#This Row],[Military%]]&lt;TblMili[[#This Row],[Draftrate]],ROUND(TblPop[[#This Row],[Peasants]]*Constants!$B$55,0), 0) * IF(AND(TblMagic[[#This Row],[Active DnD]]&lt;=12,TblMagic[[#This Row],[Active DnD]]&gt;6),1.6,1),0)</f>
        <v>3</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45816.749999999898</v>
      </c>
      <c r="C46" s="94">
        <f ca="1">OFFSET(TblPop[[#This Row],[Peasants]],-1,0)+OFFSET(TblPop[[#This Row],[Net Peasant]],-1,0)+TblMili[[#This Row],[Release Draft]]</f>
        <v>310</v>
      </c>
      <c r="D46" s="94">
        <f ca="1">TblMili[[#This Row],[Military]]</f>
        <v>459</v>
      </c>
      <c r="E46" s="94">
        <f ca="1">TblMili[[#This Row],[Draftees]]</f>
        <v>459</v>
      </c>
      <c r="F46" s="94">
        <f ca="1">TblPop[[#This Row],[Peasants]]+TblPop[[#This Row],[Military]]</f>
        <v>769</v>
      </c>
      <c r="G46" s="139">
        <f ca="1">TblPop[[#This Row],[Military]]/TblPop[[#This Row],[Total]]</f>
        <v>0.5968790637191157</v>
      </c>
      <c r="H46" s="140">
        <f ca="1">MIN(TblPop[[#This Row],[Peasants]],TblPop[[#This Row],[Jobs]])</f>
        <v>310</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459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-3</v>
      </c>
      <c r="X46" s="94">
        <f ca="1">ROUND(TblPop[[#This Row],[Raw Birth]]*(1+TblPop[[#This Row],[Growth]]),0)</f>
        <v>9</v>
      </c>
      <c r="Y46" s="94">
        <f ca="1">(TblPop[[#This Row],[Peasants]]-TblPop[[#This Row],[Draft Growth]])*raw_pop_growth</f>
        <v>9.2099999999999991</v>
      </c>
      <c r="Z46" s="94">
        <f ca="1">ROUND(IF(TblPop[[#This Row],[Military%]]&lt;TblMili[[#This Row],[Draftrate]],ROUND(TblPop[[#This Row],[Peasants]]*Constants!$B$55,0), 0) * IF(AND(TblMagic[[#This Row],[Active DnD]]&lt;=12,TblMagic[[#This Row],[Active DnD]]&gt;6),1.6,1),0)</f>
        <v>3</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45816.791666666562</v>
      </c>
      <c r="C47" s="94">
        <f ca="1">OFFSET(TblPop[[#This Row],[Peasants]],-1,0)+OFFSET(TblPop[[#This Row],[Net Peasant]],-1,0)+TblMili[[#This Row],[Release Draft]]</f>
        <v>307</v>
      </c>
      <c r="D47" s="94">
        <f ca="1">TblMili[[#This Row],[Military]]</f>
        <v>462</v>
      </c>
      <c r="E47" s="94">
        <f ca="1">TblMili[[#This Row],[Draftees]]</f>
        <v>462</v>
      </c>
      <c r="F47" s="94">
        <f ca="1">TblPop[[#This Row],[Peasants]]+TblPop[[#This Row],[Military]]</f>
        <v>769</v>
      </c>
      <c r="G47" s="139">
        <f ca="1">TblPop[[#This Row],[Military]]/TblPop[[#This Row],[Total]]</f>
        <v>0.60078023407022108</v>
      </c>
      <c r="H47" s="140">
        <f ca="1">MIN(TblPop[[#This Row],[Peasants]],TblPop[[#This Row],[Jobs]])</f>
        <v>307</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462</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-3</v>
      </c>
      <c r="X47" s="94">
        <f ca="1">ROUND(TblPop[[#This Row],[Raw Birth]]*(1+TblPop[[#This Row],[Growth]]),0)</f>
        <v>9</v>
      </c>
      <c r="Y47" s="94">
        <f ca="1">(TblPop[[#This Row],[Peasants]]-TblPop[[#This Row],[Draft Growth]])*raw_pop_growth</f>
        <v>9.1199999999999992</v>
      </c>
      <c r="Z47" s="94">
        <f ca="1">ROUND(IF(TblPop[[#This Row],[Military%]]&lt;TblMili[[#This Row],[Draftrate]],ROUND(TblPop[[#This Row],[Peasants]]*Constants!$B$55,0), 0) * IF(AND(TblMagic[[#This Row],[Active DnD]]&lt;=12,TblMagic[[#This Row],[Active DnD]]&gt;6),1.6,1),0)</f>
        <v>3</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45816.833333333227</v>
      </c>
      <c r="C48" s="94">
        <f ca="1">OFFSET(TblPop[[#This Row],[Peasants]],-1,0)+OFFSET(TblPop[[#This Row],[Net Peasant]],-1,0)+TblMili[[#This Row],[Release Draft]]</f>
        <v>304</v>
      </c>
      <c r="D48" s="94">
        <f ca="1">TblMili[[#This Row],[Military]]</f>
        <v>465</v>
      </c>
      <c r="E48" s="94">
        <f ca="1">TblMili[[#This Row],[Draftees]]</f>
        <v>465</v>
      </c>
      <c r="F48" s="94">
        <f ca="1">TblPop[[#This Row],[Peasants]]+TblPop[[#This Row],[Military]]</f>
        <v>769</v>
      </c>
      <c r="G48" s="139">
        <f ca="1">TblPop[[#This Row],[Military]]/TblPop[[#This Row],[Total]]</f>
        <v>0.60468140442132645</v>
      </c>
      <c r="H48" s="140">
        <f ca="1">MIN(TblPop[[#This Row],[Peasants]],TblPop[[#This Row],[Jobs]])</f>
        <v>304</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465</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-3</v>
      </c>
      <c r="X48" s="94">
        <f ca="1">ROUND(TblPop[[#This Row],[Raw Birth]]*(1+TblPop[[#This Row],[Growth]]),0)</f>
        <v>9</v>
      </c>
      <c r="Y48" s="94">
        <f ca="1">(TblPop[[#This Row],[Peasants]]-TblPop[[#This Row],[Draft Growth]])*raw_pop_growth</f>
        <v>9.0299999999999994</v>
      </c>
      <c r="Z48" s="94">
        <f ca="1">ROUND(IF(TblPop[[#This Row],[Military%]]&lt;TblMili[[#This Row],[Draftrate]],ROUND(TblPop[[#This Row],[Peasants]]*Constants!$B$55,0), 0) * IF(AND(TblMagic[[#This Row],[Active DnD]]&lt;=12,TblMagic[[#This Row],[Active DnD]]&gt;6),1.6,1),0)</f>
        <v>3</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45816.874999999891</v>
      </c>
      <c r="C49" s="94">
        <f ca="1">OFFSET(TblPop[[#This Row],[Peasants]],-1,0)+OFFSET(TblPop[[#This Row],[Net Peasant]],-1,0)+TblMili[[#This Row],[Release Draft]]</f>
        <v>301</v>
      </c>
      <c r="D49" s="94">
        <f ca="1">TblMili[[#This Row],[Military]]</f>
        <v>468</v>
      </c>
      <c r="E49" s="94">
        <f ca="1">TblMili[[#This Row],[Draftees]]</f>
        <v>468</v>
      </c>
      <c r="F49" s="94">
        <f ca="1">TblPop[[#This Row],[Peasants]]+TblPop[[#This Row],[Military]]</f>
        <v>769</v>
      </c>
      <c r="G49" s="139">
        <f ca="1">TblPop[[#This Row],[Military]]/TblPop[[#This Row],[Total]]</f>
        <v>0.60858257477243172</v>
      </c>
      <c r="H49" s="140">
        <f ca="1">MIN(TblPop[[#This Row],[Peasants]],TblPop[[#This Row],[Jobs]])</f>
        <v>301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-3</v>
      </c>
      <c r="X49" s="94">
        <f ca="1">ROUND(TblPop[[#This Row],[Raw Birth]]*(1+TblPop[[#This Row],[Growth]]),0)</f>
        <v>9</v>
      </c>
      <c r="Y49" s="94">
        <f ca="1">(TblPop[[#This Row],[Peasants]]-TblPop[[#This Row],[Draft Growth]])*raw_pop_growth</f>
        <v>8.94</v>
      </c>
      <c r="Z49" s="94">
        <f ca="1">ROUND(IF(TblPop[[#This Row],[Military%]]&lt;TblMili[[#This Row],[Draftrate]],ROUND(TblPop[[#This Row],[Peasants]]*Constants!$B$55,0), 0) * IF(AND(TblMagic[[#This Row],[Active DnD]]&lt;=12,TblMagic[[#This Row],[Active DnD]]&gt;6),1.6,1),0)</f>
        <v>3</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45816.916666666555</v>
      </c>
      <c r="C50" s="94">
        <f ca="1">OFFSET(TblPop[[#This Row],[Peasants]],-1,0)+OFFSET(TblPop[[#This Row],[Net Peasant]],-1,0)+TblMili[[#This Row],[Release Draft]]</f>
        <v>298</v>
      </c>
      <c r="D50" s="94">
        <f ca="1">TblMili[[#This Row],[Military]]</f>
        <v>471</v>
      </c>
      <c r="E50" s="94">
        <f ca="1">TblMili[[#This Row],[Draftees]]</f>
        <v>471</v>
      </c>
      <c r="F50" s="94">
        <f ca="1">TblPop[[#This Row],[Peasants]]+TblPop[[#This Row],[Military]]</f>
        <v>769</v>
      </c>
      <c r="G50" s="139">
        <f ca="1">TblPop[[#This Row],[Military]]/TblPop[[#This Row],[Total]]</f>
        <v>0.61248374512353709</v>
      </c>
      <c r="H50" s="140">
        <f ca="1">MIN(TblPop[[#This Row],[Peasants]],TblPop[[#This Row],[Jobs]])</f>
        <v>298</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471</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-3</v>
      </c>
      <c r="X50" s="94">
        <f ca="1">ROUND(TblPop[[#This Row],[Raw Birth]]*(1+TblPop[[#This Row],[Growth]]),0)</f>
        <v>9</v>
      </c>
      <c r="Y50" s="94">
        <f ca="1">(TblPop[[#This Row],[Peasants]]-TblPop[[#This Row],[Draft Growth]])*raw_pop_growth</f>
        <v>8.85</v>
      </c>
      <c r="Z50" s="94">
        <f ca="1">ROUND(IF(TblPop[[#This Row],[Military%]]&lt;TblMili[[#This Row],[Draftrate]],ROUND(TblPop[[#This Row],[Peasants]]*Constants!$B$55,0), 0) * IF(AND(TblMagic[[#This Row],[Active DnD]]&lt;=12,TblMagic[[#This Row],[Active DnD]]&gt;6),1.6,1),0)</f>
        <v>3</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45816.958333333219</v>
      </c>
      <c r="C51" s="94">
        <f ca="1">OFFSET(TblPop[[#This Row],[Peasants]],-1,0)+OFFSET(TblPop[[#This Row],[Net Peasant]],-1,0)+TblMili[[#This Row],[Release Draft]]</f>
        <v>295</v>
      </c>
      <c r="D51" s="94">
        <f ca="1">TblMili[[#This Row],[Military]]</f>
        <v>474</v>
      </c>
      <c r="E51" s="94">
        <f ca="1">TblMili[[#This Row],[Draftees]]</f>
        <v>474</v>
      </c>
      <c r="F51" s="94">
        <f ca="1">TblPop[[#This Row],[Peasants]]+TblPop[[#This Row],[Military]]</f>
        <v>769</v>
      </c>
      <c r="G51" s="139">
        <f ca="1">TblPop[[#This Row],[Military]]/TblPop[[#This Row],[Total]]</f>
        <v>0.61638491547464236</v>
      </c>
      <c r="H51" s="140">
        <f ca="1">MIN(TblPop[[#This Row],[Peasants]],TblPop[[#This Row],[Jobs]])</f>
        <v>295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474</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-3</v>
      </c>
      <c r="X51" s="94">
        <f ca="1">ROUND(TblPop[[#This Row],[Raw Birth]]*(1+TblPop[[#This Row],[Growth]]),0)</f>
        <v>9</v>
      </c>
      <c r="Y51" s="94">
        <f ca="1">(TblPop[[#This Row],[Peasants]]-TblPop[[#This Row],[Draft Growth]])*raw_pop_growth</f>
        <v>8.76</v>
      </c>
      <c r="Z51" s="94">
        <f ca="1">ROUND(IF(TblPop[[#This Row],[Military%]]&lt;TblMili[[#This Row],[Draftrate]],ROUND(TblPop[[#This Row],[Peasants]]*Constants!$B$55,0), 0) * IF(AND(TblMagic[[#This Row],[Active DnD]]&lt;=12,TblMagic[[#This Row],[Active DnD]]&gt;6),1.6,1),0)</f>
        <v>3</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45816.999999999884</v>
      </c>
      <c r="C52" s="35">
        <f ca="1">OFFSET(TblPop[[#This Row],[Peasants]],-1,0)+OFFSET(TblPop[[#This Row],[Net Peasant]],-1,0)+TblMili[[#This Row],[Release Draft]]</f>
        <v>292</v>
      </c>
      <c r="D52" s="35">
        <f ca="1">TblMili[[#This Row],[Military]]</f>
        <v>477</v>
      </c>
      <c r="E52" s="35">
        <f ca="1">TblMili[[#This Row],[Draftees]]</f>
        <v>477</v>
      </c>
      <c r="F52" s="35">
        <f ca="1">TblPop[[#This Row],[Peasants]]+TblPop[[#This Row],[Military]]</f>
        <v>769</v>
      </c>
      <c r="G52" s="146">
        <f ca="1">TblPop[[#This Row],[Military]]/TblPop[[#This Row],[Total]]</f>
        <v>0.62028608582574774</v>
      </c>
      <c r="H52" s="147">
        <f ca="1">MIN(TblPop[[#This Row],[Peasants]],TblPop[[#This Row],[Jobs]])</f>
        <v>292</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477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-3</v>
      </c>
      <c r="X52" s="35">
        <f ca="1">ROUND(TblPop[[#This Row],[Raw Birth]]*(1+TblPop[[#This Row],[Growth]]),0)</f>
        <v>9</v>
      </c>
      <c r="Y52" s="35">
        <f ca="1">(TblPop[[#This Row],[Peasants]]-TblPop[[#This Row],[Draft Growth]])*raw_pop_growth</f>
        <v>8.67</v>
      </c>
      <c r="Z52" s="35">
        <f ca="1">ROUND(IF(TblPop[[#This Row],[Military%]]&lt;TblMili[[#This Row],[Draftrate]],ROUND(TblPop[[#This Row],[Peasants]]*Constants!$B$55,0), 0) * IF(AND(TblMagic[[#This Row],[Active DnD]]&lt;=12,TblMagic[[#This Row],[Active DnD]]&gt;6),1.6,1),0)</f>
        <v>3</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45817.041666666548</v>
      </c>
      <c r="C53" s="94">
        <f ca="1">OFFSET(TblPop[[#This Row],[Peasants]],-1,0)+OFFSET(TblPop[[#This Row],[Net Peasant]],-1,0)+TblMili[[#This Row],[Release Draft]]</f>
        <v>289</v>
      </c>
      <c r="D53" s="94">
        <f ca="1">TblMili[[#This Row],[Military]]</f>
        <v>480</v>
      </c>
      <c r="E53" s="94">
        <f ca="1">TblMili[[#This Row],[Draftees]]</f>
        <v>480</v>
      </c>
      <c r="F53" s="94">
        <f ca="1">TblPop[[#This Row],[Peasants]]+TblPop[[#This Row],[Military]]</f>
        <v>769</v>
      </c>
      <c r="G53" s="139">
        <f ca="1">TblPop[[#This Row],[Military]]/TblPop[[#This Row],[Total]]</f>
        <v>0.62418725617685311</v>
      </c>
      <c r="H53" s="140">
        <f ca="1">MIN(TblPop[[#This Row],[Peasants]],TblPop[[#This Row],[Jobs]])</f>
        <v>289</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480</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-3</v>
      </c>
      <c r="X53" s="94">
        <f ca="1">ROUND(TblPop[[#This Row],[Raw Birth]]*(1+TblPop[[#This Row],[Growth]]),0)</f>
        <v>9</v>
      </c>
      <c r="Y53" s="94">
        <f ca="1">(TblPop[[#This Row],[Peasants]]-TblPop[[#This Row],[Draft Growth]])*raw_pop_growth</f>
        <v>8.58</v>
      </c>
      <c r="Z53" s="94">
        <f ca="1">ROUND(IF(TblPop[[#This Row],[Military%]]&lt;TblMili[[#This Row],[Draftrate]],ROUND(TblPop[[#This Row],[Peasants]]*Constants!$B$55,0), 0) * IF(AND(TblMagic[[#This Row],[Active DnD]]&lt;=12,TblMagic[[#This Row],[Active DnD]]&gt;6),1.6,1),0)</f>
        <v>3</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45817.083333333212</v>
      </c>
      <c r="C54" s="94">
        <f ca="1">OFFSET(TblPop[[#This Row],[Peasants]],-1,0)+OFFSET(TblPop[[#This Row],[Net Peasant]],-1,0)+TblMili[[#This Row],[Release Draft]]</f>
        <v>286</v>
      </c>
      <c r="D54" s="94">
        <f ca="1">TblMili[[#This Row],[Military]]</f>
        <v>483</v>
      </c>
      <c r="E54" s="94">
        <f ca="1">TblMili[[#This Row],[Draftees]]</f>
        <v>483</v>
      </c>
      <c r="F54" s="94">
        <f ca="1">TblPop[[#This Row],[Peasants]]+TblPop[[#This Row],[Military]]</f>
        <v>769</v>
      </c>
      <c r="G54" s="139">
        <f ca="1">TblPop[[#This Row],[Military]]/TblPop[[#This Row],[Total]]</f>
        <v>0.62808842652795838</v>
      </c>
      <c r="H54" s="140">
        <f ca="1">MIN(TblPop[[#This Row],[Peasants]],TblPop[[#This Row],[Jobs]])</f>
        <v>286</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483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-3</v>
      </c>
      <c r="X54" s="94">
        <f ca="1">ROUND(TblPop[[#This Row],[Raw Birth]]*(1+TblPop[[#This Row],[Growth]]),0)</f>
        <v>8</v>
      </c>
      <c r="Y54" s="94">
        <f ca="1">(TblPop[[#This Row],[Peasants]]-TblPop[[#This Row],[Draft Growth]])*raw_pop_growth</f>
        <v>8.49</v>
      </c>
      <c r="Z54" s="94">
        <f ca="1">ROUND(IF(TblPop[[#This Row],[Military%]]&lt;TblMili[[#This Row],[Draftrate]],ROUND(TblPop[[#This Row],[Peasants]]*Constants!$B$55,0), 0) * IF(AND(TblMagic[[#This Row],[Active DnD]]&lt;=12,TblMagic[[#This Row],[Active DnD]]&gt;6),1.6,1),0)</f>
        <v>3</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45817.124999999876</v>
      </c>
      <c r="C55" s="94">
        <f ca="1">OFFSET(TblPop[[#This Row],[Peasants]],-1,0)+OFFSET(TblPop[[#This Row],[Net Peasant]],-1,0)+TblMili[[#This Row],[Release Draft]]</f>
        <v>283</v>
      </c>
      <c r="D55" s="94">
        <f ca="1">TblMili[[#This Row],[Military]]</f>
        <v>486</v>
      </c>
      <c r="E55" s="94">
        <f ca="1">TblMili[[#This Row],[Draftees]]</f>
        <v>486</v>
      </c>
      <c r="F55" s="94">
        <f ca="1">TblPop[[#This Row],[Peasants]]+TblPop[[#This Row],[Military]]</f>
        <v>769</v>
      </c>
      <c r="G55" s="139">
        <f ca="1">TblPop[[#This Row],[Military]]/TblPop[[#This Row],[Total]]</f>
        <v>0.63198959687906375</v>
      </c>
      <c r="H55" s="140">
        <f ca="1">MIN(TblPop[[#This Row],[Peasants]],TblPop[[#This Row],[Jobs]])</f>
        <v>283</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486</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-3</v>
      </c>
      <c r="X55" s="94">
        <f ca="1">ROUND(TblPop[[#This Row],[Raw Birth]]*(1+TblPop[[#This Row],[Growth]]),0)</f>
        <v>8</v>
      </c>
      <c r="Y55" s="94">
        <f ca="1">(TblPop[[#This Row],[Peasants]]-TblPop[[#This Row],[Draft Growth]])*raw_pop_growth</f>
        <v>8.4</v>
      </c>
      <c r="Z55" s="94">
        <f ca="1">ROUND(IF(TblPop[[#This Row],[Military%]]&lt;TblMili[[#This Row],[Draftrate]],ROUND(TblPop[[#This Row],[Peasants]]*Constants!$B$55,0), 0) * IF(AND(TblMagic[[#This Row],[Active DnD]]&lt;=12,TblMagic[[#This Row],[Active DnD]]&gt;6),1.6,1),0)</f>
        <v>3</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45817.166666666541</v>
      </c>
      <c r="C56" s="94">
        <f ca="1">OFFSET(TblPop[[#This Row],[Peasants]],-1,0)+OFFSET(TblPop[[#This Row],[Net Peasant]],-1,0)+TblMili[[#This Row],[Release Draft]]</f>
        <v>280</v>
      </c>
      <c r="D56" s="94">
        <f ca="1">TblMili[[#This Row],[Military]]</f>
        <v>489</v>
      </c>
      <c r="E56" s="94">
        <f ca="1">TblMili[[#This Row],[Draftees]]</f>
        <v>489</v>
      </c>
      <c r="F56" s="94">
        <f ca="1">TblPop[[#This Row],[Peasants]]+TblPop[[#This Row],[Military]]</f>
        <v>769</v>
      </c>
      <c r="G56" s="139">
        <f ca="1">TblPop[[#This Row],[Military]]/TblPop[[#This Row],[Total]]</f>
        <v>0.63589076723016902</v>
      </c>
      <c r="H56" s="140">
        <f ca="1">MIN(TblPop[[#This Row],[Peasants]],TblPop[[#This Row],[Jobs]])</f>
        <v>280</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489</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-3</v>
      </c>
      <c r="X56" s="94">
        <f ca="1">ROUND(TblPop[[#This Row],[Raw Birth]]*(1+TblPop[[#This Row],[Growth]]),0)</f>
        <v>8</v>
      </c>
      <c r="Y56" s="94">
        <f ca="1">(TblPop[[#This Row],[Peasants]]-TblPop[[#This Row],[Draft Growth]])*raw_pop_growth</f>
        <v>8.31</v>
      </c>
      <c r="Z56" s="94">
        <f ca="1">ROUND(IF(TblPop[[#This Row],[Military%]]&lt;TblMili[[#This Row],[Draftrate]],ROUND(TblPop[[#This Row],[Peasants]]*Constants!$B$55,0), 0) * IF(AND(TblMagic[[#This Row],[Active DnD]]&lt;=12,TblMagic[[#This Row],[Active DnD]]&gt;6),1.6,1),0)</f>
        <v>3</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45817.208333333205</v>
      </c>
      <c r="C57" s="94">
        <f ca="1">OFFSET(TblPop[[#This Row],[Peasants]],-1,0)+OFFSET(TblPop[[#This Row],[Net Peasant]],-1,0)+TblMili[[#This Row],[Release Draft]]</f>
        <v>277</v>
      </c>
      <c r="D57" s="94">
        <f ca="1">TblMili[[#This Row],[Military]]</f>
        <v>492</v>
      </c>
      <c r="E57" s="94">
        <f ca="1">TblMili[[#This Row],[Draftees]]</f>
        <v>492</v>
      </c>
      <c r="F57" s="94">
        <f ca="1">TblPop[[#This Row],[Peasants]]+TblPop[[#This Row],[Military]]</f>
        <v>769</v>
      </c>
      <c r="G57" s="139">
        <f ca="1">TblPop[[#This Row],[Military]]/TblPop[[#This Row],[Total]]</f>
        <v>0.63979193758127439</v>
      </c>
      <c r="H57" s="140">
        <f ca="1">MIN(TblPop[[#This Row],[Peasants]],TblPop[[#This Row],[Jobs]])</f>
        <v>277</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492</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-3</v>
      </c>
      <c r="X57" s="94">
        <f ca="1">ROUND(TblPop[[#This Row],[Raw Birth]]*(1+TblPop[[#This Row],[Growth]]),0)</f>
        <v>8</v>
      </c>
      <c r="Y57" s="94">
        <f ca="1">(TblPop[[#This Row],[Peasants]]-TblPop[[#This Row],[Draft Growth]])*raw_pop_growth</f>
        <v>8.2199999999999989</v>
      </c>
      <c r="Z57" s="94">
        <f ca="1">ROUND(IF(TblPop[[#This Row],[Military%]]&lt;TblMili[[#This Row],[Draftrate]],ROUND(TblPop[[#This Row],[Peasants]]*Constants!$B$55,0), 0) * IF(AND(TblMagic[[#This Row],[Active DnD]]&lt;=12,TblMagic[[#This Row],[Active DnD]]&gt;6),1.6,1),0)</f>
        <v>3</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45817.249999999869</v>
      </c>
      <c r="C58" s="94">
        <f ca="1">OFFSET(TblPop[[#This Row],[Peasants]],-1,0)+OFFSET(TblPop[[#This Row],[Net Peasant]],-1,0)+TblMili[[#This Row],[Release Draft]]</f>
        <v>274</v>
      </c>
      <c r="D58" s="94">
        <f ca="1">TblMili[[#This Row],[Military]]</f>
        <v>495</v>
      </c>
      <c r="E58" s="94">
        <f ca="1">TblMili[[#This Row],[Draftees]]</f>
        <v>495</v>
      </c>
      <c r="F58" s="94">
        <f ca="1">TblPop[[#This Row],[Peasants]]+TblPop[[#This Row],[Military]]</f>
        <v>769</v>
      </c>
      <c r="G58" s="139">
        <f ca="1">TblPop[[#This Row],[Military]]/TblPop[[#This Row],[Total]]</f>
        <v>0.64369310793237966</v>
      </c>
      <c r="H58" s="140">
        <f ca="1">MIN(TblPop[[#This Row],[Peasants]],TblPop[[#This Row],[Jobs]])</f>
        <v>274</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495</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-3</v>
      </c>
      <c r="X58" s="94">
        <f ca="1">ROUND(TblPop[[#This Row],[Raw Birth]]*(1+TblPop[[#This Row],[Growth]]),0)</f>
        <v>8</v>
      </c>
      <c r="Y58" s="94">
        <f ca="1">(TblPop[[#This Row],[Peasants]]-TblPop[[#This Row],[Draft Growth]])*raw_pop_growth</f>
        <v>8.129999999999999</v>
      </c>
      <c r="Z58" s="94">
        <f ca="1">ROUND(IF(TblPop[[#This Row],[Military%]]&lt;TblMili[[#This Row],[Draftrate]],ROUND(TblPop[[#This Row],[Peasants]]*Constants!$B$55,0), 0) * IF(AND(TblMagic[[#This Row],[Active DnD]]&lt;=12,TblMagic[[#This Row],[Active DnD]]&gt;6),1.6,1),0)</f>
        <v>3</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45817.291666666533</v>
      </c>
      <c r="C59" s="94">
        <f ca="1">OFFSET(TblPop[[#This Row],[Peasants]],-1,0)+OFFSET(TblPop[[#This Row],[Net Peasant]],-1,0)+TblMili[[#This Row],[Release Draft]]</f>
        <v>271</v>
      </c>
      <c r="D59" s="94">
        <f ca="1">TblMili[[#This Row],[Military]]</f>
        <v>498</v>
      </c>
      <c r="E59" s="94">
        <f ca="1">TblMili[[#This Row],[Draftees]]</f>
        <v>498</v>
      </c>
      <c r="F59" s="94">
        <f ca="1">TblPop[[#This Row],[Peasants]]+TblPop[[#This Row],[Military]]</f>
        <v>769</v>
      </c>
      <c r="G59" s="139">
        <f ca="1">TblPop[[#This Row],[Military]]/TblPop[[#This Row],[Total]]</f>
        <v>0.64759427828348504</v>
      </c>
      <c r="H59" s="140">
        <f ca="1">MIN(TblPop[[#This Row],[Peasants]],TblPop[[#This Row],[Jobs]])</f>
        <v>271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-3</v>
      </c>
      <c r="X59" s="94">
        <f ca="1">ROUND(TblPop[[#This Row],[Raw Birth]]*(1+TblPop[[#This Row],[Growth]]),0)</f>
        <v>8</v>
      </c>
      <c r="Y59" s="94">
        <f ca="1">(TblPop[[#This Row],[Peasants]]-TblPop[[#This Row],[Draft Growth]])*raw_pop_growth</f>
        <v>8.0399999999999991</v>
      </c>
      <c r="Z59" s="94">
        <f ca="1">ROUND(IF(TblPop[[#This Row],[Military%]]&lt;TblMili[[#This Row],[Draftrate]],ROUND(TblPop[[#This Row],[Peasants]]*Constants!$B$55,0), 0) * IF(AND(TblMagic[[#This Row],[Active DnD]]&lt;=12,TblMagic[[#This Row],[Active DnD]]&gt;6),1.6,1),0)</f>
        <v>3</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45817.333333333198</v>
      </c>
      <c r="C60" s="94">
        <f ca="1">OFFSET(TblPop[[#This Row],[Peasants]],-1,0)+OFFSET(TblPop[[#This Row],[Net Peasant]],-1,0)+TblMili[[#This Row],[Release Draft]]</f>
        <v>268</v>
      </c>
      <c r="D60" s="94">
        <f ca="1">TblMili[[#This Row],[Military]]</f>
        <v>501</v>
      </c>
      <c r="E60" s="94">
        <f ca="1">TblMili[[#This Row],[Draftees]]</f>
        <v>501</v>
      </c>
      <c r="F60" s="94">
        <f ca="1">TblPop[[#This Row],[Peasants]]+TblPop[[#This Row],[Military]]</f>
        <v>769</v>
      </c>
      <c r="G60" s="139">
        <f ca="1">TblPop[[#This Row],[Military]]/TblPop[[#This Row],[Total]]</f>
        <v>0.65149544863459041</v>
      </c>
      <c r="H60" s="140">
        <f ca="1">MIN(TblPop[[#This Row],[Peasants]],TblPop[[#This Row],[Jobs]])</f>
        <v>268</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501</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-3</v>
      </c>
      <c r="X60" s="94">
        <f ca="1">ROUND(TblPop[[#This Row],[Raw Birth]]*(1+TblPop[[#This Row],[Growth]]),0)</f>
        <v>8</v>
      </c>
      <c r="Y60" s="94">
        <f ca="1">(TblPop[[#This Row],[Peasants]]-TblPop[[#This Row],[Draft Growth]])*raw_pop_growth</f>
        <v>7.9499999999999993</v>
      </c>
      <c r="Z60" s="94">
        <f ca="1">ROUND(IF(TblPop[[#This Row],[Military%]]&lt;TblMili[[#This Row],[Draftrate]],ROUND(TblPop[[#This Row],[Peasants]]*Constants!$B$55,0), 0) * IF(AND(TblMagic[[#This Row],[Active DnD]]&lt;=12,TblMagic[[#This Row],[Active DnD]]&gt;6),1.6,1),0)</f>
        <v>3</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45817.374999999862</v>
      </c>
      <c r="C61" s="94">
        <f ca="1">OFFSET(TblPop[[#This Row],[Peasants]],-1,0)+OFFSET(TblPop[[#This Row],[Net Peasant]],-1,0)+TblMili[[#This Row],[Release Draft]]</f>
        <v>265</v>
      </c>
      <c r="D61" s="94">
        <f ca="1">TblMili[[#This Row],[Military]]</f>
        <v>504</v>
      </c>
      <c r="E61" s="94">
        <f ca="1">TblMili[[#This Row],[Draftees]]</f>
        <v>504</v>
      </c>
      <c r="F61" s="94">
        <f ca="1">TblPop[[#This Row],[Peasants]]+TblPop[[#This Row],[Military]]</f>
        <v>769</v>
      </c>
      <c r="G61" s="139">
        <f ca="1">TblPop[[#This Row],[Military]]/TblPop[[#This Row],[Total]]</f>
        <v>0.65539661898569568</v>
      </c>
      <c r="H61" s="140">
        <f ca="1">MIN(TblPop[[#This Row],[Peasants]],TblPop[[#This Row],[Jobs]])</f>
        <v>265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504</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-3</v>
      </c>
      <c r="X61" s="94">
        <f ca="1">ROUND(TblPop[[#This Row],[Raw Birth]]*(1+TblPop[[#This Row],[Growth]]),0)</f>
        <v>8</v>
      </c>
      <c r="Y61" s="94">
        <f ca="1">(TblPop[[#This Row],[Peasants]]-TblPop[[#This Row],[Draft Growth]])*raw_pop_growth</f>
        <v>7.8599999999999994</v>
      </c>
      <c r="Z61" s="94">
        <f ca="1">ROUND(IF(TblPop[[#This Row],[Military%]]&lt;TblMili[[#This Row],[Draftrate]],ROUND(TblPop[[#This Row],[Peasants]]*Constants!$B$55,0), 0) * IF(AND(TblMagic[[#This Row],[Active DnD]]&lt;=12,TblMagic[[#This Row],[Active DnD]]&gt;6),1.6,1),0)</f>
        <v>3</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45817.416666666526</v>
      </c>
      <c r="C62" s="94">
        <f ca="1">OFFSET(TblPop[[#This Row],[Peasants]],-1,0)+OFFSET(TblPop[[#This Row],[Net Peasant]],-1,0)+TblMili[[#This Row],[Release Draft]]</f>
        <v>262</v>
      </c>
      <c r="D62" s="94">
        <f ca="1">TblMili[[#This Row],[Military]]</f>
        <v>507</v>
      </c>
      <c r="E62" s="94">
        <f ca="1">TblMili[[#This Row],[Draftees]]</f>
        <v>507</v>
      </c>
      <c r="F62" s="94">
        <f ca="1">TblPop[[#This Row],[Peasants]]+TblPop[[#This Row],[Military]]</f>
        <v>769</v>
      </c>
      <c r="G62" s="139">
        <f ca="1">TblPop[[#This Row],[Military]]/TblPop[[#This Row],[Total]]</f>
        <v>0.65929778933680105</v>
      </c>
      <c r="H62" s="140">
        <f ca="1">MIN(TblPop[[#This Row],[Peasants]],TblPop[[#This Row],[Jobs]])</f>
        <v>262</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507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8</v>
      </c>
      <c r="Y62" s="94">
        <f ca="1">(TblPop[[#This Row],[Peasants]]-TblPop[[#This Row],[Draft Growth]])*raw_pop_growth</f>
        <v>7.77</v>
      </c>
      <c r="Z62" s="94">
        <f ca="1">ROUND(IF(TblPop[[#This Row],[Military%]]&lt;TblMili[[#This Row],[Draftrate]],ROUND(TblPop[[#This Row],[Peasants]]*Constants!$B$55,0), 0) * IF(AND(TblMagic[[#This Row],[Active DnD]]&lt;=12,TblMagic[[#This Row],[Active DnD]]&gt;6),1.6,1),0)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45817.45833333319</v>
      </c>
      <c r="C63" s="94">
        <f ca="1">OFFSET(TblPop[[#This Row],[Peasants]],-1,0)+OFFSET(TblPop[[#This Row],[Net Peasant]],-1,0)+TblMili[[#This Row],[Release Draft]]</f>
        <v>259</v>
      </c>
      <c r="D63" s="94">
        <f ca="1">TblMili[[#This Row],[Military]]</f>
        <v>510</v>
      </c>
      <c r="E63" s="94">
        <f ca="1">TblMili[[#This Row],[Draftees]]</f>
        <v>510</v>
      </c>
      <c r="F63" s="94">
        <f ca="1">TblPop[[#This Row],[Peasants]]+TblPop[[#This Row],[Military]]</f>
        <v>769</v>
      </c>
      <c r="G63" s="139">
        <f ca="1">TblPop[[#This Row],[Military]]/TblPop[[#This Row],[Total]]</f>
        <v>0.66319895968790632</v>
      </c>
      <c r="H63" s="140">
        <f ca="1">MIN(TblPop[[#This Row],[Peasants]],TblPop[[#This Row],[Jobs]])</f>
        <v>259</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510</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8</v>
      </c>
      <c r="Y63" s="94">
        <f ca="1">(TblPop[[#This Row],[Peasants]]-TblPop[[#This Row],[Draft Growth]])*raw_pop_growth</f>
        <v>7.68</v>
      </c>
      <c r="Z63" s="94">
        <f ca="1">ROUND(IF(TblPop[[#This Row],[Military%]]&lt;TblMili[[#This Row],[Draftrate]],ROUND(TblPop[[#This Row],[Peasants]]*Constants!$B$55,0), 0) * IF(AND(TblMagic[[#This Row],[Active DnD]]&lt;=12,TblMagic[[#This Row],[Active DnD]]&gt;6),1.6,1),0)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45817.499999999854</v>
      </c>
      <c r="C64" s="94">
        <f ca="1">OFFSET(TblPop[[#This Row],[Peasants]],-1,0)+OFFSET(TblPop[[#This Row],[Net Peasant]],-1,0)+TblMili[[#This Row],[Release Draft]]</f>
        <v>256</v>
      </c>
      <c r="D64" s="94">
        <f ca="1">TblMili[[#This Row],[Military]]</f>
        <v>513</v>
      </c>
      <c r="E64" s="94">
        <f ca="1">TblMili[[#This Row],[Draftees]]</f>
        <v>513</v>
      </c>
      <c r="F64" s="94">
        <f ca="1">TblPop[[#This Row],[Peasants]]+TblPop[[#This Row],[Military]]</f>
        <v>769</v>
      </c>
      <c r="G64" s="139">
        <f ca="1">TblPop[[#This Row],[Military]]/TblPop[[#This Row],[Total]]</f>
        <v>0.6671001300390117</v>
      </c>
      <c r="H64" s="140">
        <f ca="1">MIN(TblPop[[#This Row],[Peasants]],TblPop[[#This Row],[Jobs]])</f>
        <v>256</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513</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8</v>
      </c>
      <c r="Y64" s="94">
        <f ca="1">(TblPop[[#This Row],[Peasants]]-TblPop[[#This Row],[Draft Growth]])*raw_pop_growth</f>
        <v>7.59</v>
      </c>
      <c r="Z64" s="94">
        <f ca="1">ROUND(IF(TblPop[[#This Row],[Military%]]&lt;TblMili[[#This Row],[Draftrate]],ROUND(TblPop[[#This Row],[Peasants]]*Constants!$B$55,0), 0) * IF(AND(TblMagic[[#This Row],[Active DnD]]&lt;=12,TblMagic[[#This Row],[Active DnD]]&gt;6),1.6,1),0)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45817.541666666519</v>
      </c>
      <c r="C65" s="94">
        <f ca="1">OFFSET(TblPop[[#This Row],[Peasants]],-1,0)+OFFSET(TblPop[[#This Row],[Net Peasant]],-1,0)+TblMili[[#This Row],[Release Draft]]</f>
        <v>253</v>
      </c>
      <c r="D65" s="94">
        <f ca="1">TblMili[[#This Row],[Military]]</f>
        <v>516</v>
      </c>
      <c r="E65" s="94">
        <f ca="1">TblMili[[#This Row],[Draftees]]</f>
        <v>516</v>
      </c>
      <c r="F65" s="94">
        <f ca="1">TblPop[[#This Row],[Peasants]]+TblPop[[#This Row],[Military]]</f>
        <v>769</v>
      </c>
      <c r="G65" s="139">
        <f ca="1">TblPop[[#This Row],[Military]]/TblPop[[#This Row],[Total]]</f>
        <v>0.67100130039011707</v>
      </c>
      <c r="H65" s="140">
        <f ca="1">MIN(TblPop[[#This Row],[Peasants]],TblPop[[#This Row],[Jobs]])</f>
        <v>253</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516</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8</v>
      </c>
      <c r="Y65" s="94">
        <f ca="1">(TblPop[[#This Row],[Peasants]]-TblPop[[#This Row],[Draft Growth]])*raw_pop_growth</f>
        <v>7.5</v>
      </c>
      <c r="Z65" s="94">
        <f ca="1">ROUND(IF(TblPop[[#This Row],[Military%]]&lt;TblMili[[#This Row],[Draftrate]],ROUND(TblPop[[#This Row],[Peasants]]*Constants!$B$55,0), 0) * IF(AND(TblMagic[[#This Row],[Active DnD]]&lt;=12,TblMagic[[#This Row],[Active DnD]]&gt;6),1.6,1),0)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45817.583333333183</v>
      </c>
      <c r="C66" s="94">
        <f ca="1">OFFSET(TblPop[[#This Row],[Peasants]],-1,0)+OFFSET(TblPop[[#This Row],[Net Peasant]],-1,0)+TblMili[[#This Row],[Release Draft]]</f>
        <v>250</v>
      </c>
      <c r="D66" s="94">
        <f ca="1">TblMili[[#This Row],[Military]]</f>
        <v>519</v>
      </c>
      <c r="E66" s="94">
        <f ca="1">TblMili[[#This Row],[Draftees]]</f>
        <v>519</v>
      </c>
      <c r="F66" s="94">
        <f ca="1">TblPop[[#This Row],[Peasants]]+TblPop[[#This Row],[Military]]</f>
        <v>769</v>
      </c>
      <c r="G66" s="139">
        <f ca="1">TblPop[[#This Row],[Military]]/TblPop[[#This Row],[Total]]</f>
        <v>0.67490247074122234</v>
      </c>
      <c r="H66" s="140">
        <f ca="1">MIN(TblPop[[#This Row],[Peasants]],TblPop[[#This Row],[Jobs]])</f>
        <v>250</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519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7</v>
      </c>
      <c r="Y66" s="94">
        <f ca="1">(TblPop[[#This Row],[Peasants]]-TblPop[[#This Row],[Draft Growth]])*raw_pop_growth</f>
        <v>7.41</v>
      </c>
      <c r="Z66" s="94">
        <f ca="1">ROUND(IF(TblPop[[#This Row],[Military%]]&lt;TblMili[[#This Row],[Draftrate]],ROUND(TblPop[[#This Row],[Peasants]]*Constants!$B$55,0), 0) * IF(AND(TblMagic[[#This Row],[Active DnD]]&lt;=12,TblMagic[[#This Row],[Active DnD]]&gt;6),1.6,1),0)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45817.624999999847</v>
      </c>
      <c r="C67" s="94">
        <f ca="1">OFFSET(TblPop[[#This Row],[Peasants]],-1,0)+OFFSET(TblPop[[#This Row],[Net Peasant]],-1,0)+TblMili[[#This Row],[Release Draft]]</f>
        <v>247</v>
      </c>
      <c r="D67" s="94">
        <f ca="1">TblMili[[#This Row],[Military]]</f>
        <v>522</v>
      </c>
      <c r="E67" s="94">
        <f ca="1">TblMili[[#This Row],[Draftees]]</f>
        <v>522</v>
      </c>
      <c r="F67" s="94">
        <f ca="1">TblPop[[#This Row],[Peasants]]+TblPop[[#This Row],[Military]]</f>
        <v>769</v>
      </c>
      <c r="G67" s="139">
        <f ca="1">TblPop[[#This Row],[Military]]/TblPop[[#This Row],[Total]]</f>
        <v>0.67880364109232771</v>
      </c>
      <c r="H67" s="140">
        <f ca="1">MIN(TblPop[[#This Row],[Peasants]],TblPop[[#This Row],[Jobs]])</f>
        <v>247</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522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-2</v>
      </c>
      <c r="X67" s="94">
        <f ca="1">ROUND(TblPop[[#This Row],[Raw Birth]]*(1+TblPop[[#This Row],[Growth]]),0)</f>
        <v>7</v>
      </c>
      <c r="Y67" s="94">
        <f ca="1">(TblPop[[#This Row],[Peasants]]-TblPop[[#This Row],[Draft Growth]])*raw_pop_growth</f>
        <v>7.35</v>
      </c>
      <c r="Z67" s="94">
        <f ca="1">ROUND(IF(TblPop[[#This Row],[Military%]]&lt;TblMili[[#This Row],[Draftrate]],ROUND(TblPop[[#This Row],[Peasants]]*Constants!$B$55,0), 0) * IF(AND(TblMagic[[#This Row],[Active DnD]]&lt;=12,TblMagic[[#This Row],[Active DnD]]&gt;6),1.6,1),0)</f>
        <v>2</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45817.666666666511</v>
      </c>
      <c r="C68" s="94">
        <f ca="1">OFFSET(TblPop[[#This Row],[Peasants]],-1,0)+OFFSET(TblPop[[#This Row],[Net Peasant]],-1,0)+TblMili[[#This Row],[Release Draft]]</f>
        <v>245</v>
      </c>
      <c r="D68" s="94">
        <f ca="1">TblMili[[#This Row],[Military]]</f>
        <v>524</v>
      </c>
      <c r="E68" s="94">
        <f ca="1">TblMili[[#This Row],[Draftees]]</f>
        <v>524</v>
      </c>
      <c r="F68" s="94">
        <f ca="1">TblPop[[#This Row],[Peasants]]+TblPop[[#This Row],[Military]]</f>
        <v>769</v>
      </c>
      <c r="G68" s="139">
        <f ca="1">TblPop[[#This Row],[Military]]/TblPop[[#This Row],[Total]]</f>
        <v>0.68140442132639789</v>
      </c>
      <c r="H68" s="140">
        <f ca="1">MIN(TblPop[[#This Row],[Peasants]],TblPop[[#This Row],[Jobs]])</f>
        <v>245</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524</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-2</v>
      </c>
      <c r="X68" s="94">
        <f ca="1">ROUND(TblPop[[#This Row],[Raw Birth]]*(1+TblPop[[#This Row],[Growth]]),0)</f>
        <v>7</v>
      </c>
      <c r="Y68" s="94">
        <f ca="1">(TblPop[[#This Row],[Peasants]]-TblPop[[#This Row],[Draft Growth]])*raw_pop_growth</f>
        <v>7.29</v>
      </c>
      <c r="Z68" s="94">
        <f ca="1">ROUND(IF(TblPop[[#This Row],[Military%]]&lt;TblMili[[#This Row],[Draftrate]],ROUND(TblPop[[#This Row],[Peasants]]*Constants!$B$55,0), 0) * IF(AND(TblMagic[[#This Row],[Active DnD]]&lt;=12,TblMagic[[#This Row],[Active DnD]]&gt;6),1.6,1),0)</f>
        <v>2</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45817.708333333176</v>
      </c>
      <c r="C69" s="94">
        <f ca="1">OFFSET(TblPop[[#This Row],[Peasants]],-1,0)+OFFSET(TblPop[[#This Row],[Net Peasant]],-1,0)+TblMili[[#This Row],[Release Draft]]</f>
        <v>243</v>
      </c>
      <c r="D69" s="94">
        <f ca="1">TblMili[[#This Row],[Military]]</f>
        <v>526</v>
      </c>
      <c r="E69" s="94">
        <f ca="1">TblMili[[#This Row],[Draftees]]</f>
        <v>526</v>
      </c>
      <c r="F69" s="94">
        <f ca="1">TblPop[[#This Row],[Peasants]]+TblPop[[#This Row],[Military]]</f>
        <v>769</v>
      </c>
      <c r="G69" s="139">
        <f ca="1">TblPop[[#This Row],[Military]]/TblPop[[#This Row],[Total]]</f>
        <v>0.68400520156046818</v>
      </c>
      <c r="H69" s="140">
        <f ca="1">MIN(TblPop[[#This Row],[Peasants]],TblPop[[#This Row],[Jobs]])</f>
        <v>243</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526</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-2</v>
      </c>
      <c r="X69" s="94">
        <f ca="1">ROUND(TblPop[[#This Row],[Raw Birth]]*(1+TblPop[[#This Row],[Growth]]),0)</f>
        <v>7</v>
      </c>
      <c r="Y69" s="94">
        <f ca="1">(TblPop[[#This Row],[Peasants]]-TblPop[[#This Row],[Draft Growth]])*raw_pop_growth</f>
        <v>7.2299999999999995</v>
      </c>
      <c r="Z69" s="94">
        <f ca="1">ROUND(IF(TblPop[[#This Row],[Military%]]&lt;TblMili[[#This Row],[Draftrate]],ROUND(TblPop[[#This Row],[Peasants]]*Constants!$B$55,0), 0) * IF(AND(TblMagic[[#This Row],[Active DnD]]&lt;=12,TblMagic[[#This Row],[Active DnD]]&gt;6),1.6,1),0)</f>
        <v>2</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45817.74999999984</v>
      </c>
      <c r="C70" s="94">
        <f ca="1">OFFSET(TblPop[[#This Row],[Peasants]],-1,0)+OFFSET(TblPop[[#This Row],[Net Peasant]],-1,0)+TblMili[[#This Row],[Release Draft]]</f>
        <v>241</v>
      </c>
      <c r="D70" s="94">
        <f ca="1">TblMili[[#This Row],[Military]]</f>
        <v>528</v>
      </c>
      <c r="E70" s="94">
        <f ca="1">TblMili[[#This Row],[Draftees]]</f>
        <v>528</v>
      </c>
      <c r="F70" s="94">
        <f ca="1">TblPop[[#This Row],[Peasants]]+TblPop[[#This Row],[Military]]</f>
        <v>769</v>
      </c>
      <c r="G70" s="139">
        <f ca="1">TblPop[[#This Row],[Military]]/TblPop[[#This Row],[Total]]</f>
        <v>0.68660598179453836</v>
      </c>
      <c r="H70" s="140">
        <f ca="1">MIN(TblPop[[#This Row],[Peasants]],TblPop[[#This Row],[Jobs]])</f>
        <v>241</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528</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-2</v>
      </c>
      <c r="X70" s="94">
        <f ca="1">ROUND(TblPop[[#This Row],[Raw Birth]]*(1+TblPop[[#This Row],[Growth]]),0)</f>
        <v>7</v>
      </c>
      <c r="Y70" s="94">
        <f ca="1">(TblPop[[#This Row],[Peasants]]-TblPop[[#This Row],[Draft Growth]])*raw_pop_growth</f>
        <v>7.17</v>
      </c>
      <c r="Z70" s="94">
        <f ca="1">ROUND(IF(TblPop[[#This Row],[Military%]]&lt;TblMili[[#This Row],[Draftrate]],ROUND(TblPop[[#This Row],[Peasants]]*Constants!$B$55,0), 0) * IF(AND(TblMagic[[#This Row],[Active DnD]]&lt;=12,TblMagic[[#This Row],[Active DnD]]&gt;6),1.6,1),0)</f>
        <v>2</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45817.791666666504</v>
      </c>
      <c r="C71" s="94">
        <f ca="1">OFFSET(TblPop[[#This Row],[Peasants]],-1,0)+OFFSET(TblPop[[#This Row],[Net Peasant]],-1,0)+TblMili[[#This Row],[Release Draft]]</f>
        <v>239</v>
      </c>
      <c r="D71" s="94">
        <f ca="1">TblMili[[#This Row],[Military]]</f>
        <v>530</v>
      </c>
      <c r="E71" s="94">
        <f ca="1">TblMili[[#This Row],[Draftees]]</f>
        <v>530</v>
      </c>
      <c r="F71" s="94">
        <f ca="1">TblPop[[#This Row],[Peasants]]+TblPop[[#This Row],[Military]]</f>
        <v>769</v>
      </c>
      <c r="G71" s="139">
        <f ca="1">TblPop[[#This Row],[Military]]/TblPop[[#This Row],[Total]]</f>
        <v>0.68920676202860853</v>
      </c>
      <c r="H71" s="140">
        <f ca="1">MIN(TblPop[[#This Row],[Peasants]],TblPop[[#This Row],[Jobs]])</f>
        <v>239</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530</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-2</v>
      </c>
      <c r="X71" s="94">
        <f ca="1">ROUND(TblPop[[#This Row],[Raw Birth]]*(1+TblPop[[#This Row],[Growth]]),0)</f>
        <v>7</v>
      </c>
      <c r="Y71" s="94">
        <f ca="1">(TblPop[[#This Row],[Peasants]]-TblPop[[#This Row],[Draft Growth]])*raw_pop_growth</f>
        <v>7.1099999999999994</v>
      </c>
      <c r="Z71" s="94">
        <f ca="1">ROUND(IF(TblPop[[#This Row],[Military%]]&lt;TblMili[[#This Row],[Draftrate]],ROUND(TblPop[[#This Row],[Peasants]]*Constants!$B$55,0), 0) * IF(AND(TblMagic[[#This Row],[Active DnD]]&lt;=12,TblMagic[[#This Row],[Active DnD]]&gt;6),1.6,1),0)</f>
        <v>2</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45817.833333333168</v>
      </c>
      <c r="C72" s="94">
        <f ca="1">OFFSET(TblPop[[#This Row],[Peasants]],-1,0)+OFFSET(TblPop[[#This Row],[Net Peasant]],-1,0)+TblMili[[#This Row],[Release Draft]]</f>
        <v>237</v>
      </c>
      <c r="D72" s="94">
        <f ca="1">TblMili[[#This Row],[Military]]</f>
        <v>532</v>
      </c>
      <c r="E72" s="94">
        <f ca="1">TblMili[[#This Row],[Draftees]]</f>
        <v>532</v>
      </c>
      <c r="F72" s="94">
        <f ca="1">TblPop[[#This Row],[Peasants]]+TblPop[[#This Row],[Military]]</f>
        <v>769</v>
      </c>
      <c r="G72" s="139">
        <f ca="1">TblPop[[#This Row],[Military]]/TblPop[[#This Row],[Total]]</f>
        <v>0.69180754226267882</v>
      </c>
      <c r="H72" s="140">
        <f ca="1">MIN(TblPop[[#This Row],[Peasants]],TblPop[[#This Row],[Jobs]])</f>
        <v>237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532</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-2</v>
      </c>
      <c r="X72" s="94">
        <f ca="1">ROUND(TblPop[[#This Row],[Raw Birth]]*(1+TblPop[[#This Row],[Growth]]),0)</f>
        <v>7</v>
      </c>
      <c r="Y72" s="94">
        <f ca="1">(TblPop[[#This Row],[Peasants]]-TblPop[[#This Row],[Draft Growth]])*raw_pop_growth</f>
        <v>7.05</v>
      </c>
      <c r="Z72" s="94">
        <f ca="1">ROUND(IF(TblPop[[#This Row],[Military%]]&lt;TblMili[[#This Row],[Draftrate]],ROUND(TblPop[[#This Row],[Peasants]]*Constants!$B$55,0), 0) * IF(AND(TblMagic[[#This Row],[Active DnD]]&lt;=12,TblMagic[[#This Row],[Active DnD]]&gt;6),1.6,1),0)</f>
        <v>2</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45817.874999999833</v>
      </c>
      <c r="C73" s="94">
        <f ca="1">OFFSET(TblPop[[#This Row],[Peasants]],-1,0)+OFFSET(TblPop[[#This Row],[Net Peasant]],-1,0)+TblMili[[#This Row],[Release Draft]]</f>
        <v>235</v>
      </c>
      <c r="D73" s="94">
        <f ca="1">TblMili[[#This Row],[Military]]</f>
        <v>534</v>
      </c>
      <c r="E73" s="94">
        <f ca="1">TblMili[[#This Row],[Draftees]]</f>
        <v>534</v>
      </c>
      <c r="F73" s="94">
        <f ca="1">TblPop[[#This Row],[Peasants]]+TblPop[[#This Row],[Military]]</f>
        <v>769</v>
      </c>
      <c r="G73" s="139">
        <f ca="1">TblPop[[#This Row],[Military]]/TblPop[[#This Row],[Total]]</f>
        <v>0.694408322496749</v>
      </c>
      <c r="H73" s="140">
        <f ca="1">MIN(TblPop[[#This Row],[Peasants]],TblPop[[#This Row],[Jobs]])</f>
        <v>235</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534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-2</v>
      </c>
      <c r="X73" s="94">
        <f ca="1">ROUND(TblPop[[#This Row],[Raw Birth]]*(1+TblPop[[#This Row],[Growth]]),0)</f>
        <v>7</v>
      </c>
      <c r="Y73" s="94">
        <f ca="1">(TblPop[[#This Row],[Peasants]]-TblPop[[#This Row],[Draft Growth]])*raw_pop_growth</f>
        <v>6.9899999999999993</v>
      </c>
      <c r="Z73" s="94">
        <f ca="1">ROUND(IF(TblPop[[#This Row],[Military%]]&lt;TblMili[[#This Row],[Draftrate]],ROUND(TblPop[[#This Row],[Peasants]]*Constants!$B$55,0), 0) * IF(AND(TblMagic[[#This Row],[Active DnD]]&lt;=12,TblMagic[[#This Row],[Active DnD]]&gt;6),1.6,1),0)</f>
        <v>2</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45817.916666666497</v>
      </c>
      <c r="C74" s="94">
        <f ca="1">OFFSET(TblPop[[#This Row],[Peasants]],-1,0)+OFFSET(TblPop[[#This Row],[Net Peasant]],-1,0)+TblMili[[#This Row],[Release Draft]]</f>
        <v>233</v>
      </c>
      <c r="D74" s="94">
        <f ca="1">TblMili[[#This Row],[Military]]</f>
        <v>536</v>
      </c>
      <c r="E74" s="94">
        <f ca="1">TblMili[[#This Row],[Draftees]]</f>
        <v>536</v>
      </c>
      <c r="F74" s="94">
        <f ca="1">TblPop[[#This Row],[Peasants]]+TblPop[[#This Row],[Military]]</f>
        <v>769</v>
      </c>
      <c r="G74" s="139">
        <f ca="1">TblPop[[#This Row],[Military]]/TblPop[[#This Row],[Total]]</f>
        <v>0.69700910273081929</v>
      </c>
      <c r="H74" s="140">
        <f ca="1">MIN(TblPop[[#This Row],[Peasants]],TblPop[[#This Row],[Jobs]])</f>
        <v>233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536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-2</v>
      </c>
      <c r="X74" s="94">
        <f ca="1">ROUND(TblPop[[#This Row],[Raw Birth]]*(1+TblPop[[#This Row],[Growth]]),0)</f>
        <v>7</v>
      </c>
      <c r="Y74" s="94">
        <f ca="1">(TblPop[[#This Row],[Peasants]]-TblPop[[#This Row],[Draft Growth]])*raw_pop_growth</f>
        <v>6.93</v>
      </c>
      <c r="Z74" s="94">
        <f ca="1">ROUND(IF(TblPop[[#This Row],[Military%]]&lt;TblMili[[#This Row],[Draftrate]],ROUND(TblPop[[#This Row],[Peasants]]*Constants!$B$55,0), 0) * IF(AND(TblMagic[[#This Row],[Active DnD]]&lt;=12,TblMagic[[#This Row],[Active DnD]]&gt;6),1.6,1),0)</f>
        <v>2</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45817.958333333161</v>
      </c>
      <c r="C75" s="94">
        <f ca="1">OFFSET(TblPop[[#This Row],[Peasants]],-1,0)+OFFSET(TblPop[[#This Row],[Net Peasant]],-1,0)+TblMili[[#This Row],[Release Draft]]</f>
        <v>231</v>
      </c>
      <c r="D75" s="94">
        <f ca="1">TblMili[[#This Row],[Military]]</f>
        <v>538</v>
      </c>
      <c r="E75" s="94">
        <f ca="1">TblMili[[#This Row],[Draftees]]</f>
        <v>538</v>
      </c>
      <c r="F75" s="94">
        <f ca="1">TblPop[[#This Row],[Peasants]]+TblPop[[#This Row],[Military]]</f>
        <v>769</v>
      </c>
      <c r="G75" s="139">
        <f ca="1">TblPop[[#This Row],[Military]]/TblPop[[#This Row],[Total]]</f>
        <v>0.69960988296488946</v>
      </c>
      <c r="H75" s="140">
        <f ca="1">MIN(TblPop[[#This Row],[Peasants]],TblPop[[#This Row],[Jobs]])</f>
        <v>231</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538</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-2</v>
      </c>
      <c r="X75" s="94">
        <f ca="1">ROUND(TblPop[[#This Row],[Raw Birth]]*(1+TblPop[[#This Row],[Growth]]),0)</f>
        <v>7</v>
      </c>
      <c r="Y75" s="94">
        <f ca="1">(TblPop[[#This Row],[Peasants]]-TblPop[[#This Row],[Draft Growth]])*raw_pop_growth</f>
        <v>6.87</v>
      </c>
      <c r="Z75" s="94">
        <f ca="1">ROUND(IF(TblPop[[#This Row],[Military%]]&lt;TblMili[[#This Row],[Draftrate]],ROUND(TblPop[[#This Row],[Peasants]]*Constants!$B$55,0), 0) * IF(AND(TblMagic[[#This Row],[Active DnD]]&lt;=12,TblMagic[[#This Row],[Active DnD]]&gt;6),1.6,1),0)</f>
        <v>2</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45817.999999999825</v>
      </c>
      <c r="C76" s="94">
        <f ca="1">OFFSET(TblPop[[#This Row],[Peasants]],-1,0)+OFFSET(TblPop[[#This Row],[Net Peasant]],-1,0)+TblMili[[#This Row],[Release Draft]]</f>
        <v>229</v>
      </c>
      <c r="D76" s="94">
        <f ca="1">TblMili[[#This Row],[Military]]</f>
        <v>540</v>
      </c>
      <c r="E76" s="94">
        <f ca="1">TblMili[[#This Row],[Draftees]]</f>
        <v>540</v>
      </c>
      <c r="F76" s="94">
        <f ca="1">TblPop[[#This Row],[Peasants]]+TblPop[[#This Row],[Military]]</f>
        <v>769</v>
      </c>
      <c r="G76" s="139">
        <f ca="1">TblPop[[#This Row],[Military]]/TblPop[[#This Row],[Total]]</f>
        <v>0.70221066319895964</v>
      </c>
      <c r="H76" s="140">
        <f ca="1">MIN(TblPop[[#This Row],[Peasants]],TblPop[[#This Row],[Jobs]])</f>
        <v>229</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540</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-2</v>
      </c>
      <c r="X76" s="94">
        <f ca="1">ROUND(TblPop[[#This Row],[Raw Birth]]*(1+TblPop[[#This Row],[Growth]]),0)</f>
        <v>7</v>
      </c>
      <c r="Y76" s="94">
        <f ca="1">(TblPop[[#This Row],[Peasants]]-TblPop[[#This Row],[Draft Growth]])*raw_pop_growth</f>
        <v>6.81</v>
      </c>
      <c r="Z76" s="94">
        <f ca="1">ROUND(IF(TblPop[[#This Row],[Military%]]&lt;TblMili[[#This Row],[Draftrate]],ROUND(TblPop[[#This Row],[Peasants]]*Constants!$B$55,0), 0) * IF(AND(TblMagic[[#This Row],[Active DnD]]&lt;=12,TblMagic[[#This Row],[Active DnD]]&gt;6),1.6,1),0)</f>
        <v>2</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45818.04166666649</v>
      </c>
      <c r="C77" s="94">
        <f ca="1">OFFSET(TblPop[[#This Row],[Peasants]],-1,0)+OFFSET(TblPop[[#This Row],[Net Peasant]],-1,0)+TblMili[[#This Row],[Release Draft]]</f>
        <v>227</v>
      </c>
      <c r="D77" s="94">
        <f ca="1">TblMili[[#This Row],[Military]]</f>
        <v>542</v>
      </c>
      <c r="E77" s="94">
        <f ca="1">TblMili[[#This Row],[Draftees]]</f>
        <v>542</v>
      </c>
      <c r="F77" s="94">
        <f ca="1">TblPop[[#This Row],[Peasants]]+TblPop[[#This Row],[Military]]</f>
        <v>769</v>
      </c>
      <c r="G77" s="139">
        <f ca="1">TblPop[[#This Row],[Military]]/TblPop[[#This Row],[Total]]</f>
        <v>0.70481144343302993</v>
      </c>
      <c r="H77" s="140">
        <f ca="1">MIN(TblPop[[#This Row],[Peasants]],TblPop[[#This Row],[Jobs]])</f>
        <v>227</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542</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-2</v>
      </c>
      <c r="X77" s="94">
        <f ca="1">ROUND(TblPop[[#This Row],[Raw Birth]]*(1+TblPop[[#This Row],[Growth]]),0)</f>
        <v>7</v>
      </c>
      <c r="Y77" s="94">
        <f ca="1">(TblPop[[#This Row],[Peasants]]-TblPop[[#This Row],[Draft Growth]])*raw_pop_growth</f>
        <v>6.75</v>
      </c>
      <c r="Z77" s="94">
        <f ca="1">ROUND(IF(TblPop[[#This Row],[Military%]]&lt;TblMili[[#This Row],[Draftrate]],ROUND(TblPop[[#This Row],[Peasants]]*Constants!$B$55,0), 0) * IF(AND(TblMagic[[#This Row],[Active DnD]]&lt;=12,TblMagic[[#This Row],[Active DnD]]&gt;6),1.6,1),0)</f>
        <v>2</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45818.083333333154</v>
      </c>
      <c r="C78" s="94">
        <f ca="1">OFFSET(TblPop[[#This Row],[Peasants]],-1,0)+OFFSET(TblPop[[#This Row],[Net Peasant]],-1,0)+TblMili[[#This Row],[Release Draft]]</f>
        <v>225</v>
      </c>
      <c r="D78" s="94">
        <f ca="1">TblMili[[#This Row],[Military]]</f>
        <v>544</v>
      </c>
      <c r="E78" s="94">
        <f ca="1">TblMili[[#This Row],[Draftees]]</f>
        <v>544</v>
      </c>
      <c r="F78" s="94">
        <f ca="1">TblPop[[#This Row],[Peasants]]+TblPop[[#This Row],[Military]]</f>
        <v>769</v>
      </c>
      <c r="G78" s="139">
        <f ca="1">TblPop[[#This Row],[Military]]/TblPop[[#This Row],[Total]]</f>
        <v>0.7074122236671001</v>
      </c>
      <c r="H78" s="140">
        <f ca="1">MIN(TblPop[[#This Row],[Peasants]],TblPop[[#This Row],[Jobs]])</f>
        <v>225</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544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-2</v>
      </c>
      <c r="X78" s="94">
        <f ca="1">ROUND(TblPop[[#This Row],[Raw Birth]]*(1+TblPop[[#This Row],[Growth]]),0)</f>
        <v>7</v>
      </c>
      <c r="Y78" s="94">
        <f ca="1">(TblPop[[#This Row],[Peasants]]-TblPop[[#This Row],[Draft Growth]])*raw_pop_growth</f>
        <v>6.6899999999999995</v>
      </c>
      <c r="Z78" s="94">
        <f ca="1">ROUND(IF(TblPop[[#This Row],[Military%]]&lt;TblMili[[#This Row],[Draftrate]],ROUND(TblPop[[#This Row],[Peasants]]*Constants!$B$55,0), 0) * IF(AND(TblMagic[[#This Row],[Active DnD]]&lt;=12,TblMagic[[#This Row],[Active DnD]]&gt;6),1.6,1),0)</f>
        <v>2</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45818.124999999818</v>
      </c>
      <c r="C79" s="94">
        <f ca="1">OFFSET(TblPop[[#This Row],[Peasants]],-1,0)+OFFSET(TblPop[[#This Row],[Net Peasant]],-1,0)+TblMili[[#This Row],[Release Draft]]</f>
        <v>223</v>
      </c>
      <c r="D79" s="94">
        <f ca="1">TblMili[[#This Row],[Military]]</f>
        <v>546</v>
      </c>
      <c r="E79" s="94">
        <f ca="1">TblMili[[#This Row],[Draftees]]</f>
        <v>546</v>
      </c>
      <c r="F79" s="94">
        <f ca="1">TblPop[[#This Row],[Peasants]]+TblPop[[#This Row],[Military]]</f>
        <v>769</v>
      </c>
      <c r="G79" s="139">
        <f ca="1">TblPop[[#This Row],[Military]]/TblPop[[#This Row],[Total]]</f>
        <v>0.71001300390117039</v>
      </c>
      <c r="H79" s="140">
        <f ca="1">MIN(TblPop[[#This Row],[Peasants]],TblPop[[#This Row],[Jobs]])</f>
        <v>223</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546</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-2</v>
      </c>
      <c r="X79" s="94">
        <f ca="1">ROUND(TblPop[[#This Row],[Raw Birth]]*(1+TblPop[[#This Row],[Growth]]),0)</f>
        <v>7</v>
      </c>
      <c r="Y79" s="94">
        <f ca="1">(TblPop[[#This Row],[Peasants]]-TblPop[[#This Row],[Draft Growth]])*raw_pop_growth</f>
        <v>6.63</v>
      </c>
      <c r="Z79" s="94">
        <f ca="1">ROUND(IF(TblPop[[#This Row],[Military%]]&lt;TblMili[[#This Row],[Draftrate]],ROUND(TblPop[[#This Row],[Peasants]]*Constants!$B$55,0), 0) * IF(AND(TblMagic[[#This Row],[Active DnD]]&lt;=12,TblMagic[[#This Row],[Active DnD]]&gt;6),1.6,1),0)</f>
        <v>2</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45818.166666666482</v>
      </c>
      <c r="C80" s="94">
        <f ca="1">OFFSET(TblPop[[#This Row],[Peasants]],-1,0)+OFFSET(TblPop[[#This Row],[Net Peasant]],-1,0)+TblMili[[#This Row],[Release Draft]]</f>
        <v>221</v>
      </c>
      <c r="D80" s="94">
        <f ca="1">TblMili[[#This Row],[Military]]</f>
        <v>548</v>
      </c>
      <c r="E80" s="94">
        <f ca="1">TblMili[[#This Row],[Draftees]]</f>
        <v>548</v>
      </c>
      <c r="F80" s="94">
        <f ca="1">TblPop[[#This Row],[Peasants]]+TblPop[[#This Row],[Military]]</f>
        <v>769</v>
      </c>
      <c r="G80" s="139">
        <f ca="1">TblPop[[#This Row],[Military]]/TblPop[[#This Row],[Total]]</f>
        <v>0.71261378413524057</v>
      </c>
      <c r="H80" s="140">
        <f ca="1">MIN(TblPop[[#This Row],[Peasants]],TblPop[[#This Row],[Jobs]])</f>
        <v>221</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548</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-2</v>
      </c>
      <c r="X80" s="94">
        <f ca="1">ROUND(TblPop[[#This Row],[Raw Birth]]*(1+TblPop[[#This Row],[Growth]]),0)</f>
        <v>7</v>
      </c>
      <c r="Y80" s="94">
        <f ca="1">(TblPop[[#This Row],[Peasants]]-TblPop[[#This Row],[Draft Growth]])*raw_pop_growth</f>
        <v>6.5699999999999994</v>
      </c>
      <c r="Z80" s="94">
        <f ca="1">ROUND(IF(TblPop[[#This Row],[Military%]]&lt;TblMili[[#This Row],[Draftrate]],ROUND(TblPop[[#This Row],[Peasants]]*Constants!$B$55,0), 0) * IF(AND(TblMagic[[#This Row],[Active DnD]]&lt;=12,TblMagic[[#This Row],[Active DnD]]&gt;6),1.6,1),0)</f>
        <v>2</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45818.208333333147</v>
      </c>
      <c r="C81" s="94">
        <f ca="1">OFFSET(TblPop[[#This Row],[Peasants]],-1,0)+OFFSET(TblPop[[#This Row],[Net Peasant]],-1,0)+TblMili[[#This Row],[Release Draft]]</f>
        <v>219</v>
      </c>
      <c r="D81" s="94">
        <f ca="1">TblMili[[#This Row],[Military]]</f>
        <v>550</v>
      </c>
      <c r="E81" s="94">
        <f ca="1">TblMili[[#This Row],[Draftees]]</f>
        <v>550</v>
      </c>
      <c r="F81" s="94">
        <f ca="1">TblPop[[#This Row],[Peasants]]+TblPop[[#This Row],[Military]]</f>
        <v>769</v>
      </c>
      <c r="G81" s="139">
        <f ca="1">TblPop[[#This Row],[Military]]/TblPop[[#This Row],[Total]]</f>
        <v>0.71521456436931075</v>
      </c>
      <c r="H81" s="140">
        <f ca="1">MIN(TblPop[[#This Row],[Peasants]],TblPop[[#This Row],[Jobs]])</f>
        <v>219</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550</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-2</v>
      </c>
      <c r="X81" s="94">
        <f ca="1">ROUND(TblPop[[#This Row],[Raw Birth]]*(1+TblPop[[#This Row],[Growth]]),0)</f>
        <v>7</v>
      </c>
      <c r="Y81" s="94">
        <f ca="1">(TblPop[[#This Row],[Peasants]]-TblPop[[#This Row],[Draft Growth]])*raw_pop_growth</f>
        <v>6.51</v>
      </c>
      <c r="Z81" s="94">
        <f ca="1">ROUND(IF(TblPop[[#This Row],[Military%]]&lt;TblMili[[#This Row],[Draftrate]],ROUND(TblPop[[#This Row],[Peasants]]*Constants!$B$55,0), 0) * IF(AND(TblMagic[[#This Row],[Active DnD]]&lt;=12,TblMagic[[#This Row],[Active DnD]]&gt;6),1.6,1),0)</f>
        <v>2</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45818.249999999811</v>
      </c>
      <c r="C82" s="94">
        <f ca="1">OFFSET(TblPop[[#This Row],[Peasants]],-1,0)+OFFSET(TblPop[[#This Row],[Net Peasant]],-1,0)+TblMili[[#This Row],[Release Draft]]</f>
        <v>217</v>
      </c>
      <c r="D82" s="94">
        <f ca="1">TblMili[[#This Row],[Military]]</f>
        <v>552</v>
      </c>
      <c r="E82" s="94">
        <f ca="1">TblMili[[#This Row],[Draftees]]</f>
        <v>552</v>
      </c>
      <c r="F82" s="94">
        <f ca="1">TblPop[[#This Row],[Peasants]]+TblPop[[#This Row],[Military]]</f>
        <v>769</v>
      </c>
      <c r="G82" s="139">
        <f ca="1">TblPop[[#This Row],[Military]]/TblPop[[#This Row],[Total]]</f>
        <v>0.71781534460338103</v>
      </c>
      <c r="H82" s="140">
        <f ca="1">MIN(TblPop[[#This Row],[Peasants]],TblPop[[#This Row],[Jobs]])</f>
        <v>217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552</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-2</v>
      </c>
      <c r="X82" s="94">
        <f ca="1">ROUND(TblPop[[#This Row],[Raw Birth]]*(1+TblPop[[#This Row],[Growth]]),0)</f>
        <v>6</v>
      </c>
      <c r="Y82" s="94">
        <f ca="1">(TblPop[[#This Row],[Peasants]]-TblPop[[#This Row],[Draft Growth]])*raw_pop_growth</f>
        <v>6.45</v>
      </c>
      <c r="Z82" s="94">
        <f ca="1">ROUND(IF(TblPop[[#This Row],[Military%]]&lt;TblMili[[#This Row],[Draftrate]],ROUND(TblPop[[#This Row],[Peasants]]*Constants!$B$55,0), 0) * IF(AND(TblMagic[[#This Row],[Active DnD]]&lt;=12,TblMagic[[#This Row],[Active DnD]]&gt;6),1.6,1),0)</f>
        <v>2</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45818.291666666475</v>
      </c>
      <c r="C83" s="94">
        <f ca="1">OFFSET(TblPop[[#This Row],[Peasants]],-1,0)+OFFSET(TblPop[[#This Row],[Net Peasant]],-1,0)+TblMili[[#This Row],[Release Draft]]</f>
        <v>215</v>
      </c>
      <c r="D83" s="94">
        <f ca="1">TblMili[[#This Row],[Military]]</f>
        <v>554</v>
      </c>
      <c r="E83" s="94">
        <f ca="1">TblMili[[#This Row],[Draftees]]</f>
        <v>554</v>
      </c>
      <c r="F83" s="94">
        <f ca="1">TblPop[[#This Row],[Peasants]]+TblPop[[#This Row],[Military]]</f>
        <v>769</v>
      </c>
      <c r="G83" s="139">
        <f ca="1">TblPop[[#This Row],[Military]]/TblPop[[#This Row],[Total]]</f>
        <v>0.72041612483745121</v>
      </c>
      <c r="H83" s="140">
        <f ca="1">MIN(TblPop[[#This Row],[Peasants]],TblPop[[#This Row],[Jobs]])</f>
        <v>215</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554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-2</v>
      </c>
      <c r="X83" s="94">
        <f ca="1">ROUND(TblPop[[#This Row],[Raw Birth]]*(1+TblPop[[#This Row],[Growth]]),0)</f>
        <v>6</v>
      </c>
      <c r="Y83" s="94">
        <f ca="1">(TblPop[[#This Row],[Peasants]]-TblPop[[#This Row],[Draft Growth]])*raw_pop_growth</f>
        <v>6.39</v>
      </c>
      <c r="Z83" s="94">
        <f ca="1">ROUND(IF(TblPop[[#This Row],[Military%]]&lt;TblMili[[#This Row],[Draftrate]],ROUND(TblPop[[#This Row],[Peasants]]*Constants!$B$55,0), 0) * IF(AND(TblMagic[[#This Row],[Active DnD]]&lt;=12,TblMagic[[#This Row],[Active DnD]]&gt;6),1.6,1),0)</f>
        <v>2</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45818.333333333139</v>
      </c>
      <c r="C84" s="94">
        <f ca="1">OFFSET(TblPop[[#This Row],[Peasants]],-1,0)+OFFSET(TblPop[[#This Row],[Net Peasant]],-1,0)+TblMili[[#This Row],[Release Draft]]</f>
        <v>213</v>
      </c>
      <c r="D84" s="94">
        <f ca="1">TblMili[[#This Row],[Military]]</f>
        <v>556</v>
      </c>
      <c r="E84" s="94">
        <f ca="1">TblMili[[#This Row],[Draftees]]</f>
        <v>556</v>
      </c>
      <c r="F84" s="94">
        <f ca="1">TblPop[[#This Row],[Peasants]]+TblPop[[#This Row],[Military]]</f>
        <v>769</v>
      </c>
      <c r="G84" s="139">
        <f ca="1">TblPop[[#This Row],[Military]]/TblPop[[#This Row],[Total]]</f>
        <v>0.7230169050715215</v>
      </c>
      <c r="H84" s="140">
        <f ca="1">MIN(TblPop[[#This Row],[Peasants]],TblPop[[#This Row],[Jobs]])</f>
        <v>213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556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-2</v>
      </c>
      <c r="X84" s="94">
        <f ca="1">ROUND(TblPop[[#This Row],[Raw Birth]]*(1+TblPop[[#This Row],[Growth]]),0)</f>
        <v>6</v>
      </c>
      <c r="Y84" s="94">
        <f ca="1">(TblPop[[#This Row],[Peasants]]-TblPop[[#This Row],[Draft Growth]])*raw_pop_growth</f>
        <v>6.33</v>
      </c>
      <c r="Z84" s="94">
        <f ca="1">ROUND(IF(TblPop[[#This Row],[Military%]]&lt;TblMili[[#This Row],[Draftrate]],ROUND(TblPop[[#This Row],[Peasants]]*Constants!$B$55,0), 0) * IF(AND(TblMagic[[#This Row],[Active DnD]]&lt;=12,TblMagic[[#This Row],[Active DnD]]&gt;6),1.6,1),0)</f>
        <v>2</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45818.374999999804</v>
      </c>
      <c r="C85" s="94">
        <f ca="1">OFFSET(TblPop[[#This Row],[Peasants]],-1,0)+OFFSET(TblPop[[#This Row],[Net Peasant]],-1,0)+TblMili[[#This Row],[Release Draft]]</f>
        <v>211</v>
      </c>
      <c r="D85" s="94">
        <f ca="1">TblMili[[#This Row],[Military]]</f>
        <v>558</v>
      </c>
      <c r="E85" s="94">
        <f ca="1">TblMili[[#This Row],[Draftees]]</f>
        <v>558</v>
      </c>
      <c r="F85" s="94">
        <f ca="1">TblPop[[#This Row],[Peasants]]+TblPop[[#This Row],[Military]]</f>
        <v>769</v>
      </c>
      <c r="G85" s="139">
        <f ca="1">TblPop[[#This Row],[Military]]/TblPop[[#This Row],[Total]]</f>
        <v>0.72561768530559168</v>
      </c>
      <c r="H85" s="140">
        <f ca="1">MIN(TblPop[[#This Row],[Peasants]],TblPop[[#This Row],[Jobs]])</f>
        <v>211</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558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-2</v>
      </c>
      <c r="X85" s="94">
        <f ca="1">ROUND(TblPop[[#This Row],[Raw Birth]]*(1+TblPop[[#This Row],[Growth]]),0)</f>
        <v>6</v>
      </c>
      <c r="Y85" s="94">
        <f ca="1">(TblPop[[#This Row],[Peasants]]-TblPop[[#This Row],[Draft Growth]])*raw_pop_growth</f>
        <v>6.27</v>
      </c>
      <c r="Z85" s="94">
        <f ca="1">ROUND(IF(TblPop[[#This Row],[Military%]]&lt;TblMili[[#This Row],[Draftrate]],ROUND(TblPop[[#This Row],[Peasants]]*Constants!$B$55,0), 0) * IF(AND(TblMagic[[#This Row],[Active DnD]]&lt;=12,TblMagic[[#This Row],[Active DnD]]&gt;6),1.6,1),0)</f>
        <v>2</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45818.416666666468</v>
      </c>
      <c r="C86" s="94">
        <f ca="1">OFFSET(TblPop[[#This Row],[Peasants]],-1,0)+OFFSET(TblPop[[#This Row],[Net Peasant]],-1,0)+TblMili[[#This Row],[Release Draft]]</f>
        <v>209</v>
      </c>
      <c r="D86" s="94">
        <f ca="1">TblMili[[#This Row],[Military]]</f>
        <v>560</v>
      </c>
      <c r="E86" s="94">
        <f ca="1">TblMili[[#This Row],[Draftees]]</f>
        <v>560</v>
      </c>
      <c r="F86" s="94">
        <f ca="1">TblPop[[#This Row],[Peasants]]+TblPop[[#This Row],[Military]]</f>
        <v>769</v>
      </c>
      <c r="G86" s="139">
        <f ca="1">TblPop[[#This Row],[Military]]/TblPop[[#This Row],[Total]]</f>
        <v>0.72821846553966185</v>
      </c>
      <c r="H86" s="140">
        <f ca="1">MIN(TblPop[[#This Row],[Peasants]],TblPop[[#This Row],[Jobs]])</f>
        <v>209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560</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-2</v>
      </c>
      <c r="X86" s="94">
        <f ca="1">ROUND(TblPop[[#This Row],[Raw Birth]]*(1+TblPop[[#This Row],[Growth]]),0)</f>
        <v>6</v>
      </c>
      <c r="Y86" s="94">
        <f ca="1">(TblPop[[#This Row],[Peasants]]-TblPop[[#This Row],[Draft Growth]])*raw_pop_growth</f>
        <v>6.21</v>
      </c>
      <c r="Z86" s="94">
        <f ca="1">ROUND(IF(TblPop[[#This Row],[Military%]]&lt;TblMili[[#This Row],[Draftrate]],ROUND(TblPop[[#This Row],[Peasants]]*Constants!$B$55,0), 0) * IF(AND(TblMagic[[#This Row],[Active DnD]]&lt;=12,TblMagic[[#This Row],[Active DnD]]&gt;6),1.6,1),0)</f>
        <v>2</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45818.458333333132</v>
      </c>
      <c r="C87" s="94">
        <f ca="1">OFFSET(TblPop[[#This Row],[Peasants]],-1,0)+OFFSET(TblPop[[#This Row],[Net Peasant]],-1,0)+TblMili[[#This Row],[Release Draft]]</f>
        <v>207</v>
      </c>
      <c r="D87" s="94">
        <f ca="1">TblMili[[#This Row],[Military]]</f>
        <v>562</v>
      </c>
      <c r="E87" s="94">
        <f ca="1">TblMili[[#This Row],[Draftees]]</f>
        <v>562</v>
      </c>
      <c r="F87" s="94">
        <f ca="1">TblPop[[#This Row],[Peasants]]+TblPop[[#This Row],[Military]]</f>
        <v>769</v>
      </c>
      <c r="G87" s="139">
        <f ca="1">TblPop[[#This Row],[Military]]/TblPop[[#This Row],[Total]]</f>
        <v>0.73081924577373214</v>
      </c>
      <c r="H87" s="140">
        <f ca="1">MIN(TblPop[[#This Row],[Peasants]],TblPop[[#This Row],[Jobs]])</f>
        <v>207</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562</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-2</v>
      </c>
      <c r="X87" s="94">
        <f ca="1">ROUND(TblPop[[#This Row],[Raw Birth]]*(1+TblPop[[#This Row],[Growth]]),0)</f>
        <v>6</v>
      </c>
      <c r="Y87" s="94">
        <f ca="1">(TblPop[[#This Row],[Peasants]]-TblPop[[#This Row],[Draft Growth]])*raw_pop_growth</f>
        <v>6.1499999999999995</v>
      </c>
      <c r="Z87" s="94">
        <f ca="1">ROUND(IF(TblPop[[#This Row],[Military%]]&lt;TblMili[[#This Row],[Draftrate]],ROUND(TblPop[[#This Row],[Peasants]]*Constants!$B$55,0), 0) * IF(AND(TblMagic[[#This Row],[Active DnD]]&lt;=12,TblMagic[[#This Row],[Active DnD]]&gt;6),1.6,1),0)</f>
        <v>2</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45818.499999999796</v>
      </c>
      <c r="C88" s="94">
        <f ca="1">OFFSET(TblPop[[#This Row],[Peasants]],-1,0)+OFFSET(TblPop[[#This Row],[Net Peasant]],-1,0)+TblMili[[#This Row],[Release Draft]]</f>
        <v>205</v>
      </c>
      <c r="D88" s="94">
        <f ca="1">TblMili[[#This Row],[Military]]</f>
        <v>564</v>
      </c>
      <c r="E88" s="94">
        <f ca="1">TblMili[[#This Row],[Draftees]]</f>
        <v>564</v>
      </c>
      <c r="F88" s="94">
        <f ca="1">TblPop[[#This Row],[Peasants]]+TblPop[[#This Row],[Military]]</f>
        <v>769</v>
      </c>
      <c r="G88" s="139">
        <f ca="1">TblPop[[#This Row],[Military]]/TblPop[[#This Row],[Total]]</f>
        <v>0.73342002600780232</v>
      </c>
      <c r="H88" s="140">
        <f ca="1">MIN(TblPop[[#This Row],[Peasants]],TblPop[[#This Row],[Jobs]])</f>
        <v>205</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564</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-2</v>
      </c>
      <c r="X88" s="94">
        <f ca="1">ROUND(TblPop[[#This Row],[Raw Birth]]*(1+TblPop[[#This Row],[Growth]]),0)</f>
        <v>6</v>
      </c>
      <c r="Y88" s="94">
        <f ca="1">(TblPop[[#This Row],[Peasants]]-TblPop[[#This Row],[Draft Growth]])*raw_pop_growth</f>
        <v>6.09</v>
      </c>
      <c r="Z88" s="94">
        <f ca="1">ROUND(IF(TblPop[[#This Row],[Military%]]&lt;TblMili[[#This Row],[Draftrate]],ROUND(TblPop[[#This Row],[Peasants]]*Constants!$B$55,0), 0) * IF(AND(TblMagic[[#This Row],[Active DnD]]&lt;=12,TblMagic[[#This Row],[Active DnD]]&gt;6),1.6,1),0)</f>
        <v>2</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45818.541666666461</v>
      </c>
      <c r="C89" s="94">
        <f ca="1">OFFSET(TblPop[[#This Row],[Peasants]],-1,0)+OFFSET(TblPop[[#This Row],[Net Peasant]],-1,0)+TblMili[[#This Row],[Release Draft]]</f>
        <v>203</v>
      </c>
      <c r="D89" s="94">
        <f ca="1">TblMili[[#This Row],[Military]]</f>
        <v>566</v>
      </c>
      <c r="E89" s="94">
        <f ca="1">TblMili[[#This Row],[Draftees]]</f>
        <v>566</v>
      </c>
      <c r="F89" s="94">
        <f ca="1">TblPop[[#This Row],[Peasants]]+TblPop[[#This Row],[Military]]</f>
        <v>769</v>
      </c>
      <c r="G89" s="139">
        <f ca="1">TblPop[[#This Row],[Military]]/TblPop[[#This Row],[Total]]</f>
        <v>0.7360208062418726</v>
      </c>
      <c r="H89" s="140">
        <f ca="1">MIN(TblPop[[#This Row],[Peasants]],TblPop[[#This Row],[Jobs]])</f>
        <v>203</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566</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-2</v>
      </c>
      <c r="X89" s="94">
        <f ca="1">ROUND(TblPop[[#This Row],[Raw Birth]]*(1+TblPop[[#This Row],[Growth]]),0)</f>
        <v>6</v>
      </c>
      <c r="Y89" s="94">
        <f ca="1">(TblPop[[#This Row],[Peasants]]-TblPop[[#This Row],[Draft Growth]])*raw_pop_growth</f>
        <v>6.0299999999999994</v>
      </c>
      <c r="Z89" s="94">
        <f ca="1">ROUND(IF(TblPop[[#This Row],[Military%]]&lt;TblMili[[#This Row],[Draftrate]],ROUND(TblPop[[#This Row],[Peasants]]*Constants!$B$55,0), 0) * IF(AND(TblMagic[[#This Row],[Active DnD]]&lt;=12,TblMagic[[#This Row],[Active DnD]]&gt;6),1.6,1),0)</f>
        <v>2</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45818.583333333125</v>
      </c>
      <c r="C90" s="94">
        <f ca="1">OFFSET(TblPop[[#This Row],[Peasants]],-1,0)+OFFSET(TblPop[[#This Row],[Net Peasant]],-1,0)+TblMili[[#This Row],[Release Draft]]</f>
        <v>201</v>
      </c>
      <c r="D90" s="94">
        <f ca="1">TblMili[[#This Row],[Military]]</f>
        <v>568</v>
      </c>
      <c r="E90" s="94">
        <f ca="1">TblMili[[#This Row],[Draftees]]</f>
        <v>568</v>
      </c>
      <c r="F90" s="94">
        <f ca="1">TblPop[[#This Row],[Peasants]]+TblPop[[#This Row],[Military]]</f>
        <v>769</v>
      </c>
      <c r="G90" s="139">
        <f ca="1">TblPop[[#This Row],[Military]]/TblPop[[#This Row],[Total]]</f>
        <v>0.73862158647594278</v>
      </c>
      <c r="H90" s="140">
        <f ca="1">MIN(TblPop[[#This Row],[Peasants]],TblPop[[#This Row],[Jobs]])</f>
        <v>201</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568</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-2</v>
      </c>
      <c r="X90" s="94">
        <f ca="1">ROUND(TblPop[[#This Row],[Raw Birth]]*(1+TblPop[[#This Row],[Growth]]),0)</f>
        <v>6</v>
      </c>
      <c r="Y90" s="94">
        <f ca="1">(TblPop[[#This Row],[Peasants]]-TblPop[[#This Row],[Draft Growth]])*raw_pop_growth</f>
        <v>5.97</v>
      </c>
      <c r="Z90" s="94">
        <f ca="1">ROUND(IF(TblPop[[#This Row],[Military%]]&lt;TblMili[[#This Row],[Draftrate]],ROUND(TblPop[[#This Row],[Peasants]]*Constants!$B$55,0), 0) * IF(AND(TblMagic[[#This Row],[Active DnD]]&lt;=12,TblMagic[[#This Row],[Active DnD]]&gt;6),1.6,1),0)</f>
        <v>2</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45818.624999999789</v>
      </c>
      <c r="C91" s="94">
        <f ca="1">OFFSET(TblPop[[#This Row],[Peasants]],-1,0)+OFFSET(TblPop[[#This Row],[Net Peasant]],-1,0)+TblMili[[#This Row],[Release Draft]]</f>
        <v>199</v>
      </c>
      <c r="D91" s="94">
        <f ca="1">TblMili[[#This Row],[Military]]</f>
        <v>570</v>
      </c>
      <c r="E91" s="94">
        <f ca="1">TblMili[[#This Row],[Draftees]]</f>
        <v>570</v>
      </c>
      <c r="F91" s="94">
        <f ca="1">TblPop[[#This Row],[Peasants]]+TblPop[[#This Row],[Military]]</f>
        <v>769</v>
      </c>
      <c r="G91" s="139">
        <f ca="1">TblPop[[#This Row],[Military]]/TblPop[[#This Row],[Total]]</f>
        <v>0.74122236671001296</v>
      </c>
      <c r="H91" s="140">
        <f ca="1">MIN(TblPop[[#This Row],[Peasants]],TblPop[[#This Row],[Jobs]])</f>
        <v>199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570</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-2</v>
      </c>
      <c r="X91" s="94">
        <f ca="1">ROUND(TblPop[[#This Row],[Raw Birth]]*(1+TblPop[[#This Row],[Growth]]),0)</f>
        <v>6</v>
      </c>
      <c r="Y91" s="94">
        <f ca="1">(TblPop[[#This Row],[Peasants]]-TblPop[[#This Row],[Draft Growth]])*raw_pop_growth</f>
        <v>5.91</v>
      </c>
      <c r="Z91" s="94">
        <f ca="1">ROUND(IF(TblPop[[#This Row],[Military%]]&lt;TblMili[[#This Row],[Draftrate]],ROUND(TblPop[[#This Row],[Peasants]]*Constants!$B$55,0), 0) * IF(AND(TblMagic[[#This Row],[Active DnD]]&lt;=12,TblMagic[[#This Row],[Active DnD]]&gt;6),1.6,1),0)</f>
        <v>2</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45818.666666666453</v>
      </c>
      <c r="C92" s="94">
        <f ca="1">OFFSET(TblPop[[#This Row],[Peasants]],-1,0)+OFFSET(TblPop[[#This Row],[Net Peasant]],-1,0)+TblMili[[#This Row],[Release Draft]]</f>
        <v>197</v>
      </c>
      <c r="D92" s="94">
        <f ca="1">TblMili[[#This Row],[Military]]</f>
        <v>572</v>
      </c>
      <c r="E92" s="94">
        <f ca="1">TblMili[[#This Row],[Draftees]]</f>
        <v>572</v>
      </c>
      <c r="F92" s="94">
        <f ca="1">TblPop[[#This Row],[Peasants]]+TblPop[[#This Row],[Military]]</f>
        <v>769</v>
      </c>
      <c r="G92" s="139">
        <f ca="1">TblPop[[#This Row],[Military]]/TblPop[[#This Row],[Total]]</f>
        <v>0.74382314694408325</v>
      </c>
      <c r="H92" s="140">
        <f ca="1">MIN(TblPop[[#This Row],[Peasants]],TblPop[[#This Row],[Jobs]])</f>
        <v>197</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572</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-2</v>
      </c>
      <c r="X92" s="94">
        <f ca="1">ROUND(TblPop[[#This Row],[Raw Birth]]*(1+TblPop[[#This Row],[Growth]]),0)</f>
        <v>6</v>
      </c>
      <c r="Y92" s="94">
        <f ca="1">(TblPop[[#This Row],[Peasants]]-TblPop[[#This Row],[Draft Growth]])*raw_pop_growth</f>
        <v>5.85</v>
      </c>
      <c r="Z92" s="94">
        <f ca="1">ROUND(IF(TblPop[[#This Row],[Military%]]&lt;TblMili[[#This Row],[Draftrate]],ROUND(TblPop[[#This Row],[Peasants]]*Constants!$B$55,0), 0) * IF(AND(TblMagic[[#This Row],[Active DnD]]&lt;=12,TblMagic[[#This Row],[Active DnD]]&gt;6),1.6,1),0)</f>
        <v>2</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45818.708333333117</v>
      </c>
      <c r="C93" s="94">
        <f ca="1">OFFSET(TblPop[[#This Row],[Peasants]],-1,0)+OFFSET(TblPop[[#This Row],[Net Peasant]],-1,0)+TblMili[[#This Row],[Release Draft]]</f>
        <v>195</v>
      </c>
      <c r="D93" s="94">
        <f ca="1">TblMili[[#This Row],[Military]]</f>
        <v>574</v>
      </c>
      <c r="E93" s="94">
        <f ca="1">TblMili[[#This Row],[Draftees]]</f>
        <v>574</v>
      </c>
      <c r="F93" s="94">
        <f ca="1">TblPop[[#This Row],[Peasants]]+TblPop[[#This Row],[Military]]</f>
        <v>769</v>
      </c>
      <c r="G93" s="139">
        <f ca="1">TblPop[[#This Row],[Military]]/TblPop[[#This Row],[Total]]</f>
        <v>0.74642392717815342</v>
      </c>
      <c r="H93" s="140">
        <f ca="1">MIN(TblPop[[#This Row],[Peasants]],TblPop[[#This Row],[Jobs]])</f>
        <v>195</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574</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-2</v>
      </c>
      <c r="X93" s="94">
        <f ca="1">ROUND(TblPop[[#This Row],[Raw Birth]]*(1+TblPop[[#This Row],[Growth]]),0)</f>
        <v>6</v>
      </c>
      <c r="Y93" s="94">
        <f ca="1">(TblPop[[#This Row],[Peasants]]-TblPop[[#This Row],[Draft Growth]])*raw_pop_growth</f>
        <v>5.79</v>
      </c>
      <c r="Z93" s="94">
        <f ca="1">ROUND(IF(TblPop[[#This Row],[Military%]]&lt;TblMili[[#This Row],[Draftrate]],ROUND(TblPop[[#This Row],[Peasants]]*Constants!$B$55,0), 0) * IF(AND(TblMagic[[#This Row],[Active DnD]]&lt;=12,TblMagic[[#This Row],[Active DnD]]&gt;6),1.6,1),0)</f>
        <v>2</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45818.749999999782</v>
      </c>
      <c r="C94" s="94">
        <f ca="1">OFFSET(TblPop[[#This Row],[Peasants]],-1,0)+OFFSET(TblPop[[#This Row],[Net Peasant]],-1,0)+TblMili[[#This Row],[Release Draft]]</f>
        <v>193</v>
      </c>
      <c r="D94" s="94">
        <f ca="1">TblMili[[#This Row],[Military]]</f>
        <v>576</v>
      </c>
      <c r="E94" s="94">
        <f ca="1">TblMili[[#This Row],[Draftees]]</f>
        <v>576</v>
      </c>
      <c r="F94" s="94">
        <f ca="1">TblPop[[#This Row],[Peasants]]+TblPop[[#This Row],[Military]]</f>
        <v>769</v>
      </c>
      <c r="G94" s="139">
        <f ca="1">TblPop[[#This Row],[Military]]/TblPop[[#This Row],[Total]]</f>
        <v>0.74902470741222371</v>
      </c>
      <c r="H94" s="140">
        <f ca="1">MIN(TblPop[[#This Row],[Peasants]],TblPop[[#This Row],[Jobs]])</f>
        <v>193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576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-2</v>
      </c>
      <c r="X94" s="94">
        <f ca="1">ROUND(TblPop[[#This Row],[Raw Birth]]*(1+TblPop[[#This Row],[Growth]]),0)</f>
        <v>6</v>
      </c>
      <c r="Y94" s="94">
        <f ca="1">(TblPop[[#This Row],[Peasants]]-TblPop[[#This Row],[Draft Growth]])*raw_pop_growth</f>
        <v>5.7299999999999995</v>
      </c>
      <c r="Z94" s="94">
        <f ca="1">ROUND(IF(TblPop[[#This Row],[Military%]]&lt;TblMili[[#This Row],[Draftrate]],ROUND(TblPop[[#This Row],[Peasants]]*Constants!$B$55,0), 0) * IF(AND(TblMagic[[#This Row],[Active DnD]]&lt;=12,TblMagic[[#This Row],[Active DnD]]&gt;6),1.6,1),0)</f>
        <v>2</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45818.791666666446</v>
      </c>
      <c r="C95" s="94">
        <f ca="1">OFFSET(TblPop[[#This Row],[Peasants]],-1,0)+OFFSET(TblPop[[#This Row],[Net Peasant]],-1,0)+TblMili[[#This Row],[Release Draft]]</f>
        <v>191</v>
      </c>
      <c r="D95" s="94">
        <f ca="1">TblMili[[#This Row],[Military]]</f>
        <v>578</v>
      </c>
      <c r="E95" s="94">
        <f ca="1">TblMili[[#This Row],[Draftees]]</f>
        <v>578</v>
      </c>
      <c r="F95" s="94">
        <f ca="1">TblPop[[#This Row],[Peasants]]+TblPop[[#This Row],[Military]]</f>
        <v>769</v>
      </c>
      <c r="G95" s="139">
        <f ca="1">TblPop[[#This Row],[Military]]/TblPop[[#This Row],[Total]]</f>
        <v>0.75162548764629389</v>
      </c>
      <c r="H95" s="140">
        <f ca="1">MIN(TblPop[[#This Row],[Peasants]],TblPop[[#This Row],[Jobs]])</f>
        <v>191</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578</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-2</v>
      </c>
      <c r="X95" s="94">
        <f ca="1">ROUND(TblPop[[#This Row],[Raw Birth]]*(1+TblPop[[#This Row],[Growth]]),0)</f>
        <v>6</v>
      </c>
      <c r="Y95" s="94">
        <f ca="1">(TblPop[[#This Row],[Peasants]]-TblPop[[#This Row],[Draft Growth]])*raw_pop_growth</f>
        <v>5.67</v>
      </c>
      <c r="Z95" s="94">
        <f ca="1">ROUND(IF(TblPop[[#This Row],[Military%]]&lt;TblMili[[#This Row],[Draftrate]],ROUND(TblPop[[#This Row],[Peasants]]*Constants!$B$55,0), 0) * IF(AND(TblMagic[[#This Row],[Active DnD]]&lt;=12,TblMagic[[#This Row],[Active DnD]]&gt;6),1.6,1),0)</f>
        <v>2</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45818.83333333311</v>
      </c>
      <c r="C96" s="94">
        <f ca="1">OFFSET(TblPop[[#This Row],[Peasants]],-1,0)+OFFSET(TblPop[[#This Row],[Net Peasant]],-1,0)+TblMili[[#This Row],[Release Draft]]</f>
        <v>189</v>
      </c>
      <c r="D96" s="94">
        <f ca="1">TblMili[[#This Row],[Military]]</f>
        <v>580</v>
      </c>
      <c r="E96" s="94">
        <f ca="1">TblMili[[#This Row],[Draftees]]</f>
        <v>580</v>
      </c>
      <c r="F96" s="94">
        <f ca="1">TblPop[[#This Row],[Peasants]]+TblPop[[#This Row],[Military]]</f>
        <v>769</v>
      </c>
      <c r="G96" s="139">
        <f ca="1">TblPop[[#This Row],[Military]]/TblPop[[#This Row],[Total]]</f>
        <v>0.75422626788036407</v>
      </c>
      <c r="H96" s="140">
        <f ca="1">MIN(TblPop[[#This Row],[Peasants]],TblPop[[#This Row],[Jobs]])</f>
        <v>189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580</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6</v>
      </c>
      <c r="Y96" s="94">
        <f ca="1">(TblPop[[#This Row],[Peasants]]-TblPop[[#This Row],[Draft Growth]])*raw_pop_growth</f>
        <v>5.6099999999999994</v>
      </c>
      <c r="Z96" s="94">
        <f ca="1">ROUND(IF(TblPop[[#This Row],[Military%]]&lt;TblMili[[#This Row],[Draftrate]],ROUND(TblPop[[#This Row],[Peasants]]*Constants!$B$55,0), 0) * IF(AND(TblMagic[[#This Row],[Active DnD]]&lt;=12,TblMagic[[#This Row],[Active DnD]]&gt;6),1.6,1),0)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45818.874999999774</v>
      </c>
      <c r="C97" s="94">
        <f ca="1">OFFSET(TblPop[[#This Row],[Peasants]],-1,0)+OFFSET(TblPop[[#This Row],[Net Peasant]],-1,0)+TblMili[[#This Row],[Release Draft]]</f>
        <v>187</v>
      </c>
      <c r="D97" s="94">
        <f ca="1">TblMili[[#This Row],[Military]]</f>
        <v>582</v>
      </c>
      <c r="E97" s="94">
        <f ca="1">TblMili[[#This Row],[Draftees]]</f>
        <v>582</v>
      </c>
      <c r="F97" s="94">
        <f ca="1">TblPop[[#This Row],[Peasants]]+TblPop[[#This Row],[Military]]</f>
        <v>769</v>
      </c>
      <c r="G97" s="139">
        <f ca="1">TblPop[[#This Row],[Military]]/TblPop[[#This Row],[Total]]</f>
        <v>0.75682704811443435</v>
      </c>
      <c r="H97" s="140">
        <f ca="1">MIN(TblPop[[#This Row],[Peasants]],TblPop[[#This Row],[Jobs]])</f>
        <v>187</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582</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6</v>
      </c>
      <c r="Y97" s="94">
        <f ca="1">(TblPop[[#This Row],[Peasants]]-TblPop[[#This Row],[Draft Growth]])*raw_pop_growth</f>
        <v>5.55</v>
      </c>
      <c r="Z97" s="94">
        <f ca="1">ROUND(IF(TblPop[[#This Row],[Military%]]&lt;TblMili[[#This Row],[Draftrate]],ROUND(TblPop[[#This Row],[Peasants]]*Constants!$B$55,0), 0) * IF(AND(TblMagic[[#This Row],[Active DnD]]&lt;=12,TblMagic[[#This Row],[Active DnD]]&gt;6),1.6,1),0)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45818.916666666439</v>
      </c>
      <c r="C98" s="94">
        <f ca="1">OFFSET(TblPop[[#This Row],[Peasants]],-1,0)+OFFSET(TblPop[[#This Row],[Net Peasant]],-1,0)+TblMili[[#This Row],[Release Draft]]</f>
        <v>185</v>
      </c>
      <c r="D98" s="94">
        <f ca="1">TblMili[[#This Row],[Military]]</f>
        <v>584</v>
      </c>
      <c r="E98" s="94">
        <f ca="1">TblMili[[#This Row],[Draftees]]</f>
        <v>584</v>
      </c>
      <c r="F98" s="94">
        <f ca="1">TblPop[[#This Row],[Peasants]]+TblPop[[#This Row],[Military]]</f>
        <v>769</v>
      </c>
      <c r="G98" s="139">
        <f ca="1">TblPop[[#This Row],[Military]]/TblPop[[#This Row],[Total]]</f>
        <v>0.75942782834850453</v>
      </c>
      <c r="H98" s="140">
        <f ca="1">MIN(TblPop[[#This Row],[Peasants]],TblPop[[#This Row],[Jobs]])</f>
        <v>185</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584</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5</v>
      </c>
      <c r="Y98" s="94">
        <f ca="1">(TblPop[[#This Row],[Peasants]]-TblPop[[#This Row],[Draft Growth]])*raw_pop_growth</f>
        <v>5.49</v>
      </c>
      <c r="Z98" s="94">
        <f ca="1">ROUND(IF(TblPop[[#This Row],[Military%]]&lt;TblMili[[#This Row],[Draftrate]],ROUND(TblPop[[#This Row],[Peasants]]*Constants!$B$55,0), 0) * IF(AND(TblMagic[[#This Row],[Active DnD]]&lt;=12,TblMagic[[#This Row],[Active DnD]]&gt;6),1.6,1),0)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45818.958333333103</v>
      </c>
      <c r="C99" s="94">
        <f ca="1">OFFSET(TblPop[[#This Row],[Peasants]],-1,0)+OFFSET(TblPop[[#This Row],[Net Peasant]],-1,0)+TblMili[[#This Row],[Release Draft]]</f>
        <v>183</v>
      </c>
      <c r="D99" s="94">
        <f ca="1">TblMili[[#This Row],[Military]]</f>
        <v>586</v>
      </c>
      <c r="E99" s="94">
        <f ca="1">TblMili[[#This Row],[Draftees]]</f>
        <v>586</v>
      </c>
      <c r="F99" s="94">
        <f ca="1">TblPop[[#This Row],[Peasants]]+TblPop[[#This Row],[Military]]</f>
        <v>769</v>
      </c>
      <c r="G99" s="139">
        <f ca="1">TblPop[[#This Row],[Military]]/TblPop[[#This Row],[Total]]</f>
        <v>0.76202860858257482</v>
      </c>
      <c r="H99" s="140">
        <f ca="1">MIN(TblPop[[#This Row],[Peasants]],TblPop[[#This Row],[Jobs]])</f>
        <v>183</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586</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5</v>
      </c>
      <c r="Y99" s="94">
        <f ca="1">(TblPop[[#This Row],[Peasants]]-TblPop[[#This Row],[Draft Growth]])*raw_pop_growth</f>
        <v>5.43</v>
      </c>
      <c r="Z99" s="94">
        <f ca="1">ROUND(IF(TblPop[[#This Row],[Military%]]&lt;TblMili[[#This Row],[Draftrate]],ROUND(TblPop[[#This Row],[Peasants]]*Constants!$B$55,0), 0) * IF(AND(TblMagic[[#This Row],[Active DnD]]&lt;=12,TblMagic[[#This Row],[Active DnD]]&gt;6),1.6,1),0)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45818.999999999767</v>
      </c>
      <c r="C100" s="94">
        <f ca="1">OFFSET(TblPop[[#This Row],[Peasants]],-1,0)+OFFSET(TblPop[[#This Row],[Net Peasant]],-1,0)+TblMili[[#This Row],[Release Draft]]</f>
        <v>181</v>
      </c>
      <c r="D100" s="94">
        <f ca="1">TblMili[[#This Row],[Military]]</f>
        <v>588</v>
      </c>
      <c r="E100" s="94">
        <f ca="1">TblMili[[#This Row],[Draftees]]</f>
        <v>588</v>
      </c>
      <c r="F100" s="94">
        <f ca="1">TblPop[[#This Row],[Peasants]]+TblPop[[#This Row],[Military]]</f>
        <v>769</v>
      </c>
      <c r="G100" s="139">
        <f ca="1">TblPop[[#This Row],[Military]]/TblPop[[#This Row],[Total]]</f>
        <v>0.76462938881664499</v>
      </c>
      <c r="H100" s="140">
        <f ca="1">MIN(TblPop[[#This Row],[Peasants]],TblPop[[#This Row],[Jobs]])</f>
        <v>181</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588</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5</v>
      </c>
      <c r="Y100" s="94">
        <f ca="1">(TblPop[[#This Row],[Peasants]]-TblPop[[#This Row],[Draft Growth]])*raw_pop_growth</f>
        <v>5.37</v>
      </c>
      <c r="Z100" s="94">
        <f ca="1">ROUND(IF(TblPop[[#This Row],[Military%]]&lt;TblMili[[#This Row],[Draftrate]],ROUND(TblPop[[#This Row],[Peasants]]*Constants!$B$55,0), 0) * IF(AND(TblMagic[[#This Row],[Active DnD]]&lt;=12,TblMagic[[#This Row],[Active DnD]]&gt;6),1.6,1),0)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45819.041666666431</v>
      </c>
      <c r="C101" s="94">
        <f ca="1">OFFSET(TblPop[[#This Row],[Peasants]],-1,0)+OFFSET(TblPop[[#This Row],[Net Peasant]],-1,0)+TblMili[[#This Row],[Release Draft]]</f>
        <v>179</v>
      </c>
      <c r="D101" s="94">
        <f ca="1">TblMili[[#This Row],[Military]]</f>
        <v>590</v>
      </c>
      <c r="E101" s="94">
        <f ca="1">TblMili[[#This Row],[Draftees]]</f>
        <v>590</v>
      </c>
      <c r="F101" s="94">
        <f ca="1">TblPop[[#This Row],[Peasants]]+TblPop[[#This Row],[Military]]</f>
        <v>769</v>
      </c>
      <c r="G101" s="139">
        <f ca="1">TblPop[[#This Row],[Military]]/TblPop[[#This Row],[Total]]</f>
        <v>0.76723016905071517</v>
      </c>
      <c r="H101" s="140">
        <f ca="1">MIN(TblPop[[#This Row],[Peasants]],TblPop[[#This Row],[Jobs]])</f>
        <v>179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590</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5</v>
      </c>
      <c r="Y101" s="94">
        <f ca="1">(TblPop[[#This Row],[Peasants]]-TblPop[[#This Row],[Draft Growth]])*raw_pop_growth</f>
        <v>5.31</v>
      </c>
      <c r="Z101" s="94">
        <f ca="1">ROUND(IF(TblPop[[#This Row],[Military%]]&lt;TblMili[[#This Row],[Draftrate]],ROUND(TblPop[[#This Row],[Peasants]]*Constants!$B$55,0), 0) * IF(AND(TblMagic[[#This Row],[Active DnD]]&lt;=12,TblMagic[[#This Row],[Active DnD]]&gt;6),1.6,1),0)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45819.083333333096</v>
      </c>
      <c r="C102" s="94">
        <f ca="1">OFFSET(TblPop[[#This Row],[Peasants]],-1,0)+OFFSET(TblPop[[#This Row],[Net Peasant]],-1,0)+TblMili[[#This Row],[Release Draft]]</f>
        <v>177</v>
      </c>
      <c r="D102" s="94">
        <f ca="1">TblMili[[#This Row],[Military]]</f>
        <v>592</v>
      </c>
      <c r="E102" s="94">
        <f ca="1">TblMili[[#This Row],[Draftees]]</f>
        <v>592</v>
      </c>
      <c r="F102" s="94">
        <f ca="1">TblPop[[#This Row],[Peasants]]+TblPop[[#This Row],[Military]]</f>
        <v>769</v>
      </c>
      <c r="G102" s="139">
        <f ca="1">TblPop[[#This Row],[Military]]/TblPop[[#This Row],[Total]]</f>
        <v>0.76983094928478546</v>
      </c>
      <c r="H102" s="140">
        <f ca="1">MIN(TblPop[[#This Row],[Peasants]],TblPop[[#This Row],[Jobs]])</f>
        <v>177</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592</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5</v>
      </c>
      <c r="Y102" s="94">
        <f ca="1">(TblPop[[#This Row],[Peasants]]-TblPop[[#This Row],[Draft Growth]])*raw_pop_growth</f>
        <v>5.25</v>
      </c>
      <c r="Z102" s="94">
        <f ca="1">ROUND(IF(TblPop[[#This Row],[Military%]]&lt;TblMili[[#This Row],[Draftrate]],ROUND(TblPop[[#This Row],[Peasants]]*Constants!$B$55,0), 0) * IF(AND(TblMagic[[#This Row],[Active DnD]]&lt;=12,TblMagic[[#This Row],[Active DnD]]&gt;6),1.6,1),0)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45819.12499999976</v>
      </c>
      <c r="C103" s="94">
        <f ca="1">OFFSET(TblPop[[#This Row],[Peasants]],-1,0)+OFFSET(TblPop[[#This Row],[Net Peasant]],-1,0)+TblMili[[#This Row],[Release Draft]]</f>
        <v>175</v>
      </c>
      <c r="D103" s="94">
        <f ca="1">TblMili[[#This Row],[Military]]</f>
        <v>594</v>
      </c>
      <c r="E103" s="94">
        <f ca="1">TblMili[[#This Row],[Draftees]]</f>
        <v>594</v>
      </c>
      <c r="F103" s="94">
        <f ca="1">TblPop[[#This Row],[Peasants]]+TblPop[[#This Row],[Military]]</f>
        <v>769</v>
      </c>
      <c r="G103" s="139">
        <f ca="1">TblPop[[#This Row],[Military]]/TblPop[[#This Row],[Total]]</f>
        <v>0.77243172951885564</v>
      </c>
      <c r="H103" s="140">
        <f ca="1">MIN(TblPop[[#This Row],[Peasants]],TblPop[[#This Row],[Jobs]])</f>
        <v>175</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594</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5</v>
      </c>
      <c r="Y103" s="94">
        <f ca="1">(TblPop[[#This Row],[Peasants]]-TblPop[[#This Row],[Draft Growth]])*raw_pop_growth</f>
        <v>5.1899999999999995</v>
      </c>
      <c r="Z103" s="94">
        <f ca="1">ROUND(IF(TblPop[[#This Row],[Military%]]&lt;TblMili[[#This Row],[Draftrate]],ROUND(TblPop[[#This Row],[Peasants]]*Constants!$B$55,0), 0) * IF(AND(TblMagic[[#This Row],[Active DnD]]&lt;=12,TblMagic[[#This Row],[Active DnD]]&gt;6),1.6,1),0)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45819.166666666424</v>
      </c>
      <c r="C104" s="94">
        <f ca="1">OFFSET(TblPop[[#This Row],[Peasants]],-1,0)+OFFSET(TblPop[[#This Row],[Net Peasant]],-1,0)+TblMili[[#This Row],[Release Draft]]</f>
        <v>173</v>
      </c>
      <c r="D104" s="94">
        <f ca="1">TblMili[[#This Row],[Military]]</f>
        <v>596</v>
      </c>
      <c r="E104" s="94">
        <f ca="1">TblMili[[#This Row],[Draftees]]</f>
        <v>596</v>
      </c>
      <c r="F104" s="94">
        <f ca="1">TblPop[[#This Row],[Peasants]]+TblPop[[#This Row],[Military]]</f>
        <v>769</v>
      </c>
      <c r="G104" s="139">
        <f ca="1">TblPop[[#This Row],[Military]]/TblPop[[#This Row],[Total]]</f>
        <v>0.77503250975292592</v>
      </c>
      <c r="H104" s="140">
        <f ca="1">MIN(TblPop[[#This Row],[Peasants]],TblPop[[#This Row],[Jobs]])</f>
        <v>173</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596</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5</v>
      </c>
      <c r="Y104" s="94">
        <f ca="1">(TblPop[[#This Row],[Peasants]]-TblPop[[#This Row],[Draft Growth]])*raw_pop_growth</f>
        <v>5.13</v>
      </c>
      <c r="Z104" s="94">
        <f ca="1">ROUND(IF(TblPop[[#This Row],[Military%]]&lt;TblMili[[#This Row],[Draftrate]],ROUND(TblPop[[#This Row],[Peasants]]*Constants!$B$55,0), 0) * IF(AND(TblMagic[[#This Row],[Active DnD]]&lt;=12,TblMagic[[#This Row],[Active DnD]]&gt;6),1.6,1),0)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45819.208333333088</v>
      </c>
      <c r="C105" s="94">
        <f ca="1">OFFSET(TblPop[[#This Row],[Peasants]],-1,0)+OFFSET(TblPop[[#This Row],[Net Peasant]],-1,0)+TblMili[[#This Row],[Release Draft]]</f>
        <v>171</v>
      </c>
      <c r="D105" s="94">
        <f ca="1">TblMili[[#This Row],[Military]]</f>
        <v>598</v>
      </c>
      <c r="E105" s="94">
        <f ca="1">TblMili[[#This Row],[Draftees]]</f>
        <v>598</v>
      </c>
      <c r="F105" s="94">
        <f ca="1">TblPop[[#This Row],[Peasants]]+TblPop[[#This Row],[Military]]</f>
        <v>769</v>
      </c>
      <c r="G105" s="139">
        <f ca="1">TblPop[[#This Row],[Military]]/TblPop[[#This Row],[Total]]</f>
        <v>0.7776332899869961</v>
      </c>
      <c r="H105" s="140">
        <f ca="1">MIN(TblPop[[#This Row],[Peasants]],TblPop[[#This Row],[Jobs]])</f>
        <v>171</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598</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5</v>
      </c>
      <c r="Y105" s="94">
        <f ca="1">(TblPop[[#This Row],[Peasants]]-TblPop[[#This Row],[Draft Growth]])*raw_pop_growth</f>
        <v>5.0699999999999994</v>
      </c>
      <c r="Z105" s="94">
        <f ca="1">ROUND(IF(TblPop[[#This Row],[Military%]]&lt;TblMili[[#This Row],[Draftrate]],ROUND(TblPop[[#This Row],[Peasants]]*Constants!$B$55,0), 0) * IF(AND(TblMagic[[#This Row],[Active DnD]]&lt;=12,TblMagic[[#This Row],[Active DnD]]&gt;6),1.6,1),0)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45819.249999999753</v>
      </c>
      <c r="C106" s="94">
        <f ca="1">OFFSET(TblPop[[#This Row],[Peasants]],-1,0)+OFFSET(TblPop[[#This Row],[Net Peasant]],-1,0)+TblMili[[#This Row],[Release Draft]]</f>
        <v>169</v>
      </c>
      <c r="D106" s="94">
        <f ca="1">TblMili[[#This Row],[Military]]</f>
        <v>600</v>
      </c>
      <c r="E106" s="94">
        <f ca="1">TblMili[[#This Row],[Draftees]]</f>
        <v>600</v>
      </c>
      <c r="F106" s="94">
        <f ca="1">TblPop[[#This Row],[Peasants]]+TblPop[[#This Row],[Military]]</f>
        <v>769</v>
      </c>
      <c r="G106" s="139">
        <f ca="1">TblPop[[#This Row],[Military]]/TblPop[[#This Row],[Total]]</f>
        <v>0.78023407022106628</v>
      </c>
      <c r="H106" s="140">
        <f ca="1">MIN(TblPop[[#This Row],[Peasants]],TblPop[[#This Row],[Jobs]])</f>
        <v>169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600</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5</v>
      </c>
      <c r="Y106" s="94">
        <f ca="1">(TblPop[[#This Row],[Peasants]]-TblPop[[#This Row],[Draft Growth]])*raw_pop_growth</f>
        <v>5.01</v>
      </c>
      <c r="Z106" s="94">
        <f ca="1">ROUND(IF(TblPop[[#This Row],[Military%]]&lt;TblMili[[#This Row],[Draftrate]],ROUND(TblPop[[#This Row],[Peasants]]*Constants!$B$55,0), 0) * IF(AND(TblMagic[[#This Row],[Active DnD]]&lt;=12,TblMagic[[#This Row],[Active DnD]]&gt;6),1.6,1),0)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45819.291666666417</v>
      </c>
      <c r="C107" s="94">
        <f ca="1">OFFSET(TblPop[[#This Row],[Peasants]],-1,0)+OFFSET(TblPop[[#This Row],[Net Peasant]],-1,0)+TblMili[[#This Row],[Release Draft]]</f>
        <v>167</v>
      </c>
      <c r="D107" s="94">
        <f ca="1">TblMili[[#This Row],[Military]]</f>
        <v>602</v>
      </c>
      <c r="E107" s="94">
        <f ca="1">TblMili[[#This Row],[Draftees]]</f>
        <v>602</v>
      </c>
      <c r="F107" s="94">
        <f ca="1">TblPop[[#This Row],[Peasants]]+TblPop[[#This Row],[Military]]</f>
        <v>769</v>
      </c>
      <c r="G107" s="139">
        <f ca="1">TblPop[[#This Row],[Military]]/TblPop[[#This Row],[Total]]</f>
        <v>0.78283485045513657</v>
      </c>
      <c r="H107" s="140">
        <f ca="1">MIN(TblPop[[#This Row],[Peasants]],TblPop[[#This Row],[Jobs]])</f>
        <v>167</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602</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5</v>
      </c>
      <c r="Y107" s="94">
        <f ca="1">(TblPop[[#This Row],[Peasants]]-TblPop[[#This Row],[Draft Growth]])*raw_pop_growth</f>
        <v>4.95</v>
      </c>
      <c r="Z107" s="94">
        <f ca="1">ROUND(IF(TblPop[[#This Row],[Military%]]&lt;TblMili[[#This Row],[Draftrate]],ROUND(TblPop[[#This Row],[Peasants]]*Constants!$B$55,0), 0) * IF(AND(TblMagic[[#This Row],[Active DnD]]&lt;=12,TblMagic[[#This Row],[Active DnD]]&gt;6),1.6,1),0)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45819.333333333081</v>
      </c>
      <c r="C108" s="94">
        <f ca="1">OFFSET(TblPop[[#This Row],[Peasants]],-1,0)+OFFSET(TblPop[[#This Row],[Net Peasant]],-1,0)+TblMili[[#This Row],[Release Draft]]</f>
        <v>165</v>
      </c>
      <c r="D108" s="94">
        <f ca="1">TblMili[[#This Row],[Military]]</f>
        <v>604</v>
      </c>
      <c r="E108" s="94">
        <f ca="1">TblMili[[#This Row],[Draftees]]</f>
        <v>604</v>
      </c>
      <c r="F108" s="94">
        <f ca="1">TblPop[[#This Row],[Peasants]]+TblPop[[#This Row],[Military]]</f>
        <v>769</v>
      </c>
      <c r="G108" s="139">
        <f ca="1">TblPop[[#This Row],[Military]]/TblPop[[#This Row],[Total]]</f>
        <v>0.78543563068920674</v>
      </c>
      <c r="H108" s="140">
        <f ca="1">MIN(TblPop[[#This Row],[Peasants]],TblPop[[#This Row],[Jobs]])</f>
        <v>165</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604</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5</v>
      </c>
      <c r="Y108" s="94">
        <f ca="1">(TblPop[[#This Row],[Peasants]]-TblPop[[#This Row],[Draft Growth]])*raw_pop_growth</f>
        <v>4.8899999999999997</v>
      </c>
      <c r="Z108" s="94">
        <f ca="1">ROUND(IF(TblPop[[#This Row],[Military%]]&lt;TblMili[[#This Row],[Draftrate]],ROUND(TblPop[[#This Row],[Peasants]]*Constants!$B$55,0), 0) * IF(AND(TblMagic[[#This Row],[Active DnD]]&lt;=12,TblMagic[[#This Row],[Active DnD]]&gt;6),1.6,1),0)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45819.374999999745</v>
      </c>
      <c r="C109" s="94">
        <f ca="1">OFFSET(TblPop[[#This Row],[Peasants]],-1,0)+OFFSET(TblPop[[#This Row],[Net Peasant]],-1,0)+TblMili[[#This Row],[Release Draft]]</f>
        <v>163</v>
      </c>
      <c r="D109" s="94">
        <f ca="1">TblMili[[#This Row],[Military]]</f>
        <v>606</v>
      </c>
      <c r="E109" s="94">
        <f ca="1">TblMili[[#This Row],[Draftees]]</f>
        <v>606</v>
      </c>
      <c r="F109" s="94">
        <f ca="1">TblPop[[#This Row],[Peasants]]+TblPop[[#This Row],[Military]]</f>
        <v>769</v>
      </c>
      <c r="G109" s="139">
        <f ca="1">TblPop[[#This Row],[Military]]/TblPop[[#This Row],[Total]]</f>
        <v>0.78803641092327703</v>
      </c>
      <c r="H109" s="140">
        <f ca="1">MIN(TblPop[[#This Row],[Peasants]],TblPop[[#This Row],[Jobs]])</f>
        <v>163</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606</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5</v>
      </c>
      <c r="Y109" s="94">
        <f ca="1">(TblPop[[#This Row],[Peasants]]-TblPop[[#This Row],[Draft Growth]])*raw_pop_growth</f>
        <v>4.83</v>
      </c>
      <c r="Z109" s="94">
        <f ca="1">ROUND(IF(TblPop[[#This Row],[Military%]]&lt;TblMili[[#This Row],[Draftrate]],ROUND(TblPop[[#This Row],[Peasants]]*Constants!$B$55,0), 0) * IF(AND(TblMagic[[#This Row],[Active DnD]]&lt;=12,TblMagic[[#This Row],[Active DnD]]&gt;6),1.6,1),0)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45819.41666666641</v>
      </c>
      <c r="C110" s="94">
        <f ca="1">OFFSET(TblPop[[#This Row],[Peasants]],-1,0)+OFFSET(TblPop[[#This Row],[Net Peasant]],-1,0)+TblMili[[#This Row],[Release Draft]]</f>
        <v>161</v>
      </c>
      <c r="D110" s="94">
        <f ca="1">TblMili[[#This Row],[Military]]</f>
        <v>608</v>
      </c>
      <c r="E110" s="94">
        <f ca="1">TblMili[[#This Row],[Draftees]]</f>
        <v>608</v>
      </c>
      <c r="F110" s="94">
        <f ca="1">TblPop[[#This Row],[Peasants]]+TblPop[[#This Row],[Military]]</f>
        <v>769</v>
      </c>
      <c r="G110" s="139">
        <f ca="1">TblPop[[#This Row],[Military]]/TblPop[[#This Row],[Total]]</f>
        <v>0.79063719115734721</v>
      </c>
      <c r="H110" s="140">
        <f ca="1">MIN(TblPop[[#This Row],[Peasants]],TblPop[[#This Row],[Jobs]])</f>
        <v>161</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608</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5</v>
      </c>
      <c r="Y110" s="94">
        <f ca="1">(TblPop[[#This Row],[Peasants]]-TblPop[[#This Row],[Draft Growth]])*raw_pop_growth</f>
        <v>4.7699999999999996</v>
      </c>
      <c r="Z110" s="94">
        <f ca="1">ROUND(IF(TblPop[[#This Row],[Military%]]&lt;TblMili[[#This Row],[Draftrate]],ROUND(TblPop[[#This Row],[Peasants]]*Constants!$B$55,0), 0) * IF(AND(TblMagic[[#This Row],[Active DnD]]&lt;=12,TblMagic[[#This Row],[Active DnD]]&gt;6),1.6,1),0)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45819.458333333074</v>
      </c>
      <c r="C111" s="94">
        <f ca="1">OFFSET(TblPop[[#This Row],[Peasants]],-1,0)+OFFSET(TblPop[[#This Row],[Net Peasant]],-1,0)+TblMili[[#This Row],[Release Draft]]</f>
        <v>159</v>
      </c>
      <c r="D111" s="94">
        <f ca="1">TblMili[[#This Row],[Military]]</f>
        <v>610</v>
      </c>
      <c r="E111" s="94">
        <f ca="1">TblMili[[#This Row],[Draftees]]</f>
        <v>610</v>
      </c>
      <c r="F111" s="94">
        <f ca="1">TblPop[[#This Row],[Peasants]]+TblPop[[#This Row],[Military]]</f>
        <v>769</v>
      </c>
      <c r="G111" s="139">
        <f ca="1">TblPop[[#This Row],[Military]]/TblPop[[#This Row],[Total]]</f>
        <v>0.79323797139141738</v>
      </c>
      <c r="H111" s="140">
        <f ca="1">MIN(TblPop[[#This Row],[Peasants]],TblPop[[#This Row],[Jobs]])</f>
        <v>159</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610</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5</v>
      </c>
      <c r="Y111" s="94">
        <f ca="1">(TblPop[[#This Row],[Peasants]]-TblPop[[#This Row],[Draft Growth]])*raw_pop_growth</f>
        <v>4.71</v>
      </c>
      <c r="Z111" s="94">
        <f ca="1">ROUND(IF(TblPop[[#This Row],[Military%]]&lt;TblMili[[#This Row],[Draftrate]],ROUND(TblPop[[#This Row],[Peasants]]*Constants!$B$55,0), 0) * IF(AND(TblMagic[[#This Row],[Active DnD]]&lt;=12,TblMagic[[#This Row],[Active DnD]]&gt;6),1.6,1),0)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45819.499999999738</v>
      </c>
      <c r="C112" s="94">
        <f ca="1">OFFSET(TblPop[[#This Row],[Peasants]],-1,0)+OFFSET(TblPop[[#This Row],[Net Peasant]],-1,0)+TblMili[[#This Row],[Release Draft]]</f>
        <v>157</v>
      </c>
      <c r="D112" s="94">
        <f ca="1">TblMili[[#This Row],[Military]]</f>
        <v>612</v>
      </c>
      <c r="E112" s="94">
        <f ca="1">TblMili[[#This Row],[Draftees]]</f>
        <v>612</v>
      </c>
      <c r="F112" s="94">
        <f ca="1">TblPop[[#This Row],[Peasants]]+TblPop[[#This Row],[Military]]</f>
        <v>769</v>
      </c>
      <c r="G112" s="139">
        <f ca="1">TblPop[[#This Row],[Military]]/TblPop[[#This Row],[Total]]</f>
        <v>0.79583875162548767</v>
      </c>
      <c r="H112" s="140">
        <f ca="1">MIN(TblPop[[#This Row],[Peasants]],TblPop[[#This Row],[Jobs]])</f>
        <v>157</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612</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5</v>
      </c>
      <c r="Y112" s="94">
        <f ca="1">(TblPop[[#This Row],[Peasants]]-TblPop[[#This Row],[Draft Growth]])*raw_pop_growth</f>
        <v>4.6499999999999995</v>
      </c>
      <c r="Z112" s="94">
        <f ca="1">ROUND(IF(TblPop[[#This Row],[Military%]]&lt;TblMili[[#This Row],[Draftrate]],ROUND(TblPop[[#This Row],[Peasants]]*Constants!$B$55,0), 0) * IF(AND(TblMagic[[#This Row],[Active DnD]]&lt;=12,TblMagic[[#This Row],[Active DnD]]&gt;6),1.6,1),0)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45819.541666666402</v>
      </c>
      <c r="C113" s="94">
        <f ca="1">OFFSET(TblPop[[#This Row],[Peasants]],-1,0)+OFFSET(TblPop[[#This Row],[Net Peasant]],-1,0)+TblMili[[#This Row],[Release Draft]]</f>
        <v>155</v>
      </c>
      <c r="D113" s="94">
        <f ca="1">TblMili[[#This Row],[Military]]</f>
        <v>614</v>
      </c>
      <c r="E113" s="94">
        <f ca="1">TblMili[[#This Row],[Draftees]]</f>
        <v>614</v>
      </c>
      <c r="F113" s="94">
        <f ca="1">TblPop[[#This Row],[Peasants]]+TblPop[[#This Row],[Military]]</f>
        <v>769</v>
      </c>
      <c r="G113" s="139">
        <f ca="1">TblPop[[#This Row],[Military]]/TblPop[[#This Row],[Total]]</f>
        <v>0.79843953185955785</v>
      </c>
      <c r="H113" s="140">
        <f ca="1">MIN(TblPop[[#This Row],[Peasants]],TblPop[[#This Row],[Jobs]])</f>
        <v>155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614</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5</v>
      </c>
      <c r="Y113" s="94">
        <f ca="1">(TblPop[[#This Row],[Peasants]]-TblPop[[#This Row],[Draft Growth]])*raw_pop_growth</f>
        <v>4.59</v>
      </c>
      <c r="Z113" s="94">
        <f ca="1">ROUND(IF(TblPop[[#This Row],[Military%]]&lt;TblMili[[#This Row],[Draftrate]],ROUND(TblPop[[#This Row],[Peasants]]*Constants!$B$55,0), 0) * IF(AND(TblMagic[[#This Row],[Active DnD]]&lt;=12,TblMagic[[#This Row],[Active DnD]]&gt;6),1.6,1),0)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45819.583333333067</v>
      </c>
      <c r="C114" s="94">
        <f ca="1">OFFSET(TblPop[[#This Row],[Peasants]],-1,0)+OFFSET(TblPop[[#This Row],[Net Peasant]],-1,0)+TblMili[[#This Row],[Release Draft]]</f>
        <v>153</v>
      </c>
      <c r="D114" s="94">
        <f ca="1">TblMili[[#This Row],[Military]]</f>
        <v>616</v>
      </c>
      <c r="E114" s="94">
        <f ca="1">TblMili[[#This Row],[Draftees]]</f>
        <v>616</v>
      </c>
      <c r="F114" s="94">
        <f ca="1">TblPop[[#This Row],[Peasants]]+TblPop[[#This Row],[Military]]</f>
        <v>769</v>
      </c>
      <c r="G114" s="139">
        <f ca="1">TblPop[[#This Row],[Military]]/TblPop[[#This Row],[Total]]</f>
        <v>0.80104031209362814</v>
      </c>
      <c r="H114" s="140">
        <f ca="1">MIN(TblPop[[#This Row],[Peasants]],TblPop[[#This Row],[Jobs]])</f>
        <v>153</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616</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5</v>
      </c>
      <c r="Y114" s="94">
        <f ca="1">(TblPop[[#This Row],[Peasants]]-TblPop[[#This Row],[Draft Growth]])*raw_pop_growth</f>
        <v>4.53</v>
      </c>
      <c r="Z114" s="94">
        <f ca="1">ROUND(IF(TblPop[[#This Row],[Military%]]&lt;TblMili[[#This Row],[Draftrate]],ROUND(TblPop[[#This Row],[Peasants]]*Constants!$B$55,0), 0) * IF(AND(TblMagic[[#This Row],[Active DnD]]&lt;=12,TblMagic[[#This Row],[Active DnD]]&gt;6),1.6,1),0)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45819.624999999731</v>
      </c>
      <c r="C115" s="94">
        <f ca="1">OFFSET(TblPop[[#This Row],[Peasants]],-1,0)+OFFSET(TblPop[[#This Row],[Net Peasant]],-1,0)+TblMili[[#This Row],[Release Draft]]</f>
        <v>151</v>
      </c>
      <c r="D115" s="94">
        <f ca="1">TblMili[[#This Row],[Military]]</f>
        <v>618</v>
      </c>
      <c r="E115" s="94">
        <f ca="1">TblMili[[#This Row],[Draftees]]</f>
        <v>618</v>
      </c>
      <c r="F115" s="94">
        <f ca="1">TblPop[[#This Row],[Peasants]]+TblPop[[#This Row],[Military]]</f>
        <v>769</v>
      </c>
      <c r="G115" s="139">
        <f ca="1">TblPop[[#This Row],[Military]]/TblPop[[#This Row],[Total]]</f>
        <v>0.80364109232769831</v>
      </c>
      <c r="H115" s="140">
        <f ca="1">MIN(TblPop[[#This Row],[Peasants]],TblPop[[#This Row],[Jobs]])</f>
        <v>151</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618</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4</v>
      </c>
      <c r="Y115" s="94">
        <f ca="1">(TblPop[[#This Row],[Peasants]]-TblPop[[#This Row],[Draft Growth]])*raw_pop_growth</f>
        <v>4.47</v>
      </c>
      <c r="Z115" s="94">
        <f ca="1">ROUND(IF(TblPop[[#This Row],[Military%]]&lt;TblMili[[#This Row],[Draftrate]],ROUND(TblPop[[#This Row],[Peasants]]*Constants!$B$55,0), 0) * IF(AND(TblMagic[[#This Row],[Active DnD]]&lt;=12,TblMagic[[#This Row],[Active DnD]]&gt;6),1.6,1),0)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45819.666666666395</v>
      </c>
      <c r="C116" s="94">
        <f ca="1">OFFSET(TblPop[[#This Row],[Peasants]],-1,0)+OFFSET(TblPop[[#This Row],[Net Peasant]],-1,0)+TblMili[[#This Row],[Release Draft]]</f>
        <v>149</v>
      </c>
      <c r="D116" s="94">
        <f ca="1">TblMili[[#This Row],[Military]]</f>
        <v>620</v>
      </c>
      <c r="E116" s="94">
        <f ca="1">TblMili[[#This Row],[Draftees]]</f>
        <v>620</v>
      </c>
      <c r="F116" s="94">
        <f ca="1">TblPop[[#This Row],[Peasants]]+TblPop[[#This Row],[Military]]</f>
        <v>769</v>
      </c>
      <c r="G116" s="139">
        <f ca="1">TblPop[[#This Row],[Military]]/TblPop[[#This Row],[Total]]</f>
        <v>0.80624187256176849</v>
      </c>
      <c r="H116" s="140">
        <f ca="1">MIN(TblPop[[#This Row],[Peasants]],TblPop[[#This Row],[Jobs]])</f>
        <v>149</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620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-1</v>
      </c>
      <c r="X116" s="94">
        <f ca="1">ROUND(TblPop[[#This Row],[Raw Birth]]*(1+TblPop[[#This Row],[Growth]]),0)</f>
        <v>4</v>
      </c>
      <c r="Y116" s="94">
        <f ca="1">(TblPop[[#This Row],[Peasants]]-TblPop[[#This Row],[Draft Growth]])*raw_pop_growth</f>
        <v>4.4399999999999995</v>
      </c>
      <c r="Z116" s="94">
        <f ca="1">ROUND(IF(TblPop[[#This Row],[Military%]]&lt;TblMili[[#This Row],[Draftrate]],ROUND(TblPop[[#This Row],[Peasants]]*Constants!$B$55,0), 0) * IF(AND(TblMagic[[#This Row],[Active DnD]]&lt;=12,TblMagic[[#This Row],[Active DnD]]&gt;6),1.6,1),0)</f>
        <v>1</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45819.708333333059</v>
      </c>
      <c r="C117" s="94">
        <f ca="1">OFFSET(TblPop[[#This Row],[Peasants]],-1,0)+OFFSET(TblPop[[#This Row],[Net Peasant]],-1,0)+TblMili[[#This Row],[Release Draft]]</f>
        <v>148</v>
      </c>
      <c r="D117" s="94">
        <f ca="1">TblMili[[#This Row],[Military]]</f>
        <v>621</v>
      </c>
      <c r="E117" s="94">
        <f ca="1">TblMili[[#This Row],[Draftees]]</f>
        <v>621</v>
      </c>
      <c r="F117" s="94">
        <f ca="1">TblPop[[#This Row],[Peasants]]+TblPop[[#This Row],[Military]]</f>
        <v>769</v>
      </c>
      <c r="G117" s="139">
        <f ca="1">TblPop[[#This Row],[Military]]/TblPop[[#This Row],[Total]]</f>
        <v>0.80754226267880369</v>
      </c>
      <c r="H117" s="140">
        <f ca="1">MIN(TblPop[[#This Row],[Peasants]],TblPop[[#This Row],[Jobs]])</f>
        <v>148</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621</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-1</v>
      </c>
      <c r="X117" s="94">
        <f ca="1">ROUND(TblPop[[#This Row],[Raw Birth]]*(1+TblPop[[#This Row],[Growth]]),0)</f>
        <v>4</v>
      </c>
      <c r="Y117" s="94">
        <f ca="1">(TblPop[[#This Row],[Peasants]]-TblPop[[#This Row],[Draft Growth]])*raw_pop_growth</f>
        <v>4.41</v>
      </c>
      <c r="Z117" s="94">
        <f ca="1">ROUND(IF(TblPop[[#This Row],[Military%]]&lt;TblMili[[#This Row],[Draftrate]],ROUND(TblPop[[#This Row],[Peasants]]*Constants!$B$55,0), 0) * IF(AND(TblMagic[[#This Row],[Active DnD]]&lt;=12,TblMagic[[#This Row],[Active DnD]]&gt;6),1.6,1),0)</f>
        <v>1</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45819.749999999724</v>
      </c>
      <c r="C118" s="94">
        <f ca="1">OFFSET(TblPop[[#This Row],[Peasants]],-1,0)+OFFSET(TblPop[[#This Row],[Net Peasant]],-1,0)+TblMili[[#This Row],[Release Draft]]</f>
        <v>147</v>
      </c>
      <c r="D118" s="94">
        <f ca="1">TblMili[[#This Row],[Military]]</f>
        <v>622</v>
      </c>
      <c r="E118" s="94">
        <f ca="1">TblMili[[#This Row],[Draftees]]</f>
        <v>622</v>
      </c>
      <c r="F118" s="94">
        <f ca="1">TblPop[[#This Row],[Peasants]]+TblPop[[#This Row],[Military]]</f>
        <v>769</v>
      </c>
      <c r="G118" s="139">
        <f ca="1">TblPop[[#This Row],[Military]]/TblPop[[#This Row],[Total]]</f>
        <v>0.80884265279583878</v>
      </c>
      <c r="H118" s="140">
        <f ca="1">MIN(TblPop[[#This Row],[Peasants]],TblPop[[#This Row],[Jobs]])</f>
        <v>147</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622</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-1</v>
      </c>
      <c r="X118" s="94">
        <f ca="1">ROUND(TblPop[[#This Row],[Raw Birth]]*(1+TblPop[[#This Row],[Growth]]),0)</f>
        <v>4</v>
      </c>
      <c r="Y118" s="94">
        <f ca="1">(TblPop[[#This Row],[Peasants]]-TblPop[[#This Row],[Draft Growth]])*raw_pop_growth</f>
        <v>4.38</v>
      </c>
      <c r="Z118" s="94">
        <f ca="1">ROUND(IF(TblPop[[#This Row],[Military%]]&lt;TblMili[[#This Row],[Draftrate]],ROUND(TblPop[[#This Row],[Peasants]]*Constants!$B$55,0), 0) * IF(AND(TblMagic[[#This Row],[Active DnD]]&lt;=12,TblMagic[[#This Row],[Active DnD]]&gt;6),1.6,1),0)</f>
        <v>1</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45819.791666666388</v>
      </c>
      <c r="C119" s="94">
        <f ca="1">OFFSET(TblPop[[#This Row],[Peasants]],-1,0)+OFFSET(TblPop[[#This Row],[Net Peasant]],-1,0)+TblMili[[#This Row],[Release Draft]]</f>
        <v>146</v>
      </c>
      <c r="D119" s="94">
        <f ca="1">TblMili[[#This Row],[Military]]</f>
        <v>623</v>
      </c>
      <c r="E119" s="94">
        <f ca="1">TblMili[[#This Row],[Draftees]]</f>
        <v>623</v>
      </c>
      <c r="F119" s="94">
        <f ca="1">TblPop[[#This Row],[Peasants]]+TblPop[[#This Row],[Military]]</f>
        <v>769</v>
      </c>
      <c r="G119" s="139">
        <f ca="1">TblPop[[#This Row],[Military]]/TblPop[[#This Row],[Total]]</f>
        <v>0.81014304291287387</v>
      </c>
      <c r="H119" s="140">
        <f ca="1">MIN(TblPop[[#This Row],[Peasants]],TblPop[[#This Row],[Jobs]])</f>
        <v>146</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623</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-1</v>
      </c>
      <c r="X119" s="94">
        <f ca="1">ROUND(TblPop[[#This Row],[Raw Birth]]*(1+TblPop[[#This Row],[Growth]]),0)</f>
        <v>4</v>
      </c>
      <c r="Y119" s="94">
        <f ca="1">(TblPop[[#This Row],[Peasants]]-TblPop[[#This Row],[Draft Growth]])*raw_pop_growth</f>
        <v>4.3499999999999996</v>
      </c>
      <c r="Z119" s="94">
        <f ca="1">ROUND(IF(TblPop[[#This Row],[Military%]]&lt;TblMili[[#This Row],[Draftrate]],ROUND(TblPop[[#This Row],[Peasants]]*Constants!$B$55,0), 0) * IF(AND(TblMagic[[#This Row],[Active DnD]]&lt;=12,TblMagic[[#This Row],[Active DnD]]&gt;6),1.6,1),0)</f>
        <v>1</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45819.833333333052</v>
      </c>
      <c r="C120" s="94">
        <f ca="1">OFFSET(TblPop[[#This Row],[Peasants]],-1,0)+OFFSET(TblPop[[#This Row],[Net Peasant]],-1,0)+TblMili[[#This Row],[Release Draft]]</f>
        <v>145</v>
      </c>
      <c r="D120" s="94">
        <f ca="1">TblMili[[#This Row],[Military]]</f>
        <v>624</v>
      </c>
      <c r="E120" s="94">
        <f ca="1">TblMili[[#This Row],[Draftees]]</f>
        <v>624</v>
      </c>
      <c r="F120" s="94">
        <f ca="1">TblPop[[#This Row],[Peasants]]+TblPop[[#This Row],[Military]]</f>
        <v>769</v>
      </c>
      <c r="G120" s="139">
        <f ca="1">TblPop[[#This Row],[Military]]/TblPop[[#This Row],[Total]]</f>
        <v>0.81144343302990896</v>
      </c>
      <c r="H120" s="140">
        <f ca="1">MIN(TblPop[[#This Row],[Peasants]],TblPop[[#This Row],[Jobs]])</f>
        <v>145</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624</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-1</v>
      </c>
      <c r="X120" s="94">
        <f ca="1">ROUND(TblPop[[#This Row],[Raw Birth]]*(1+TblPop[[#This Row],[Growth]]),0)</f>
        <v>4</v>
      </c>
      <c r="Y120" s="94">
        <f ca="1">(TblPop[[#This Row],[Peasants]]-TblPop[[#This Row],[Draft Growth]])*raw_pop_growth</f>
        <v>4.32</v>
      </c>
      <c r="Z120" s="94">
        <f ca="1">ROUND(IF(TblPop[[#This Row],[Military%]]&lt;TblMili[[#This Row],[Draftrate]],ROUND(TblPop[[#This Row],[Peasants]]*Constants!$B$55,0), 0) * IF(AND(TblMagic[[#This Row],[Active DnD]]&lt;=12,TblMagic[[#This Row],[Active DnD]]&gt;6),1.6,1),0)</f>
        <v>1</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45819.874999999716</v>
      </c>
      <c r="C121" s="94">
        <f ca="1">OFFSET(TblPop[[#This Row],[Peasants]],-1,0)+OFFSET(TblPop[[#This Row],[Net Peasant]],-1,0)+TblMili[[#This Row],[Release Draft]]</f>
        <v>144</v>
      </c>
      <c r="D121" s="94">
        <f ca="1">TblMili[[#This Row],[Military]]</f>
        <v>625</v>
      </c>
      <c r="E121" s="94">
        <f ca="1">TblMili[[#This Row],[Draftees]]</f>
        <v>625</v>
      </c>
      <c r="F121" s="94">
        <f ca="1">TblPop[[#This Row],[Peasants]]+TblPop[[#This Row],[Military]]</f>
        <v>769</v>
      </c>
      <c r="G121" s="139">
        <f ca="1">TblPop[[#This Row],[Military]]/TblPop[[#This Row],[Total]]</f>
        <v>0.81274382314694404</v>
      </c>
      <c r="H121" s="140">
        <f ca="1">MIN(TblPop[[#This Row],[Peasants]],TblPop[[#This Row],[Jobs]])</f>
        <v>144</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625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-1</v>
      </c>
      <c r="X121" s="94">
        <f ca="1">ROUND(TblPop[[#This Row],[Raw Birth]]*(1+TblPop[[#This Row],[Growth]]),0)</f>
        <v>4</v>
      </c>
      <c r="Y121" s="94">
        <f ca="1">(TblPop[[#This Row],[Peasants]]-TblPop[[#This Row],[Draft Growth]])*raw_pop_growth</f>
        <v>4.29</v>
      </c>
      <c r="Z121" s="94">
        <f ca="1">ROUND(IF(TblPop[[#This Row],[Military%]]&lt;TblMili[[#This Row],[Draftrate]],ROUND(TblPop[[#This Row],[Peasants]]*Constants!$B$55,0), 0) * IF(AND(TblMagic[[#This Row],[Active DnD]]&lt;=12,TblMagic[[#This Row],[Active DnD]]&gt;6),1.6,1),0)</f>
        <v>1</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45819.91666666638</v>
      </c>
      <c r="C122" s="94">
        <f ca="1">OFFSET(TblPop[[#This Row],[Peasants]],-1,0)+OFFSET(TblPop[[#This Row],[Net Peasant]],-1,0)+TblMili[[#This Row],[Release Draft]]</f>
        <v>143</v>
      </c>
      <c r="D122" s="94">
        <f ca="1">TblMili[[#This Row],[Military]]</f>
        <v>626</v>
      </c>
      <c r="E122" s="94">
        <f ca="1">TblMili[[#This Row],[Draftees]]</f>
        <v>626</v>
      </c>
      <c r="F122" s="94">
        <f ca="1">TblPop[[#This Row],[Peasants]]+TblPop[[#This Row],[Military]]</f>
        <v>769</v>
      </c>
      <c r="G122" s="139">
        <f ca="1">TblPop[[#This Row],[Military]]/TblPop[[#This Row],[Total]]</f>
        <v>0.81404421326397924</v>
      </c>
      <c r="H122" s="140">
        <f ca="1">MIN(TblPop[[#This Row],[Peasants]],TblPop[[#This Row],[Jobs]])</f>
        <v>143</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626</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-1</v>
      </c>
      <c r="X122" s="94">
        <f ca="1">ROUND(TblPop[[#This Row],[Raw Birth]]*(1+TblPop[[#This Row],[Growth]]),0)</f>
        <v>4</v>
      </c>
      <c r="Y122" s="94">
        <f ca="1">(TblPop[[#This Row],[Peasants]]-TblPop[[#This Row],[Draft Growth]])*raw_pop_growth</f>
        <v>4.26</v>
      </c>
      <c r="Z122" s="94">
        <f ca="1">ROUND(IF(TblPop[[#This Row],[Military%]]&lt;TblMili[[#This Row],[Draftrate]],ROUND(TblPop[[#This Row],[Peasants]]*Constants!$B$55,0), 0) * IF(AND(TblMagic[[#This Row],[Active DnD]]&lt;=12,TblMagic[[#This Row],[Active DnD]]&gt;6),1.6,1),0)</f>
        <v>1</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45819.958333333045</v>
      </c>
      <c r="C123" s="94">
        <f ca="1">OFFSET(TblPop[[#This Row],[Peasants]],-1,0)+OFFSET(TblPop[[#This Row],[Net Peasant]],-1,0)+TblMili[[#This Row],[Release Draft]]</f>
        <v>142</v>
      </c>
      <c r="D123" s="94">
        <f ca="1">TblMili[[#This Row],[Military]]</f>
        <v>627</v>
      </c>
      <c r="E123" s="94">
        <f ca="1">TblMili[[#This Row],[Draftees]]</f>
        <v>627</v>
      </c>
      <c r="F123" s="94">
        <f ca="1">TblPop[[#This Row],[Peasants]]+TblPop[[#This Row],[Military]]</f>
        <v>769</v>
      </c>
      <c r="G123" s="139">
        <f ca="1">TblPop[[#This Row],[Military]]/TblPop[[#This Row],[Total]]</f>
        <v>0.81534460338101433</v>
      </c>
      <c r="H123" s="140">
        <f ca="1">MIN(TblPop[[#This Row],[Peasants]],TblPop[[#This Row],[Jobs]])</f>
        <v>142</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627</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-1</v>
      </c>
      <c r="X123" s="94">
        <f ca="1">ROUND(TblPop[[#This Row],[Raw Birth]]*(1+TblPop[[#This Row],[Growth]]),0)</f>
        <v>4</v>
      </c>
      <c r="Y123" s="94">
        <f ca="1">(TblPop[[#This Row],[Peasants]]-TblPop[[#This Row],[Draft Growth]])*raw_pop_growth</f>
        <v>4.2299999999999995</v>
      </c>
      <c r="Z123" s="94">
        <f ca="1">ROUND(IF(TblPop[[#This Row],[Military%]]&lt;TblMili[[#This Row],[Draftrate]],ROUND(TblPop[[#This Row],[Peasants]]*Constants!$B$55,0), 0) * IF(AND(TblMagic[[#This Row],[Active DnD]]&lt;=12,TblMagic[[#This Row],[Active DnD]]&gt;6),1.6,1),0)</f>
        <v>1</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45819.999999999709</v>
      </c>
      <c r="C124" s="94">
        <f ca="1">OFFSET(TblPop[[#This Row],[Peasants]],-1,0)+OFFSET(TblPop[[#This Row],[Net Peasant]],-1,0)+TblMili[[#This Row],[Release Draft]]</f>
        <v>141</v>
      </c>
      <c r="D124" s="94">
        <f ca="1">TblMili[[#This Row],[Military]]</f>
        <v>628</v>
      </c>
      <c r="E124" s="94">
        <f ca="1">TblMili[[#This Row],[Draftees]]</f>
        <v>628</v>
      </c>
      <c r="F124" s="94">
        <f ca="1">TblPop[[#This Row],[Peasants]]+TblPop[[#This Row],[Military]]</f>
        <v>769</v>
      </c>
      <c r="G124" s="139">
        <f ca="1">TblPop[[#This Row],[Military]]/TblPop[[#This Row],[Total]]</f>
        <v>0.81664499349804942</v>
      </c>
      <c r="H124" s="140">
        <f ca="1">MIN(TblPop[[#This Row],[Peasants]],TblPop[[#This Row],[Jobs]])</f>
        <v>141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628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-1</v>
      </c>
      <c r="X124" s="94">
        <f ca="1">ROUND(TblPop[[#This Row],[Raw Birth]]*(1+TblPop[[#This Row],[Growth]]),0)</f>
        <v>4</v>
      </c>
      <c r="Y124" s="94">
        <f ca="1">(TblPop[[#This Row],[Peasants]]-TblPop[[#This Row],[Draft Growth]])*raw_pop_growth</f>
        <v>4.2</v>
      </c>
      <c r="Z124" s="94">
        <f ca="1">ROUND(IF(TblPop[[#This Row],[Military%]]&lt;TblMili[[#This Row],[Draftrate]],ROUND(TblPop[[#This Row],[Peasants]]*Constants!$B$55,0), 0) * IF(AND(TblMagic[[#This Row],[Active DnD]]&lt;=12,TblMagic[[#This Row],[Active DnD]]&gt;6),1.6,1),0)</f>
        <v>1</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45820.041666666373</v>
      </c>
      <c r="C125" s="94">
        <f ca="1">OFFSET(TblPop[[#This Row],[Peasants]],-1,0)+OFFSET(TblPop[[#This Row],[Net Peasant]],-1,0)+TblMili[[#This Row],[Release Draft]]</f>
        <v>140</v>
      </c>
      <c r="D125" s="94">
        <f ca="1">TblMili[[#This Row],[Military]]</f>
        <v>629</v>
      </c>
      <c r="E125" s="94">
        <f ca="1">TblMili[[#This Row],[Draftees]]</f>
        <v>629</v>
      </c>
      <c r="F125" s="94">
        <f ca="1">TblPop[[#This Row],[Peasants]]+TblPop[[#This Row],[Military]]</f>
        <v>769</v>
      </c>
      <c r="G125" s="139">
        <f ca="1">TblPop[[#This Row],[Military]]/TblPop[[#This Row],[Total]]</f>
        <v>0.81794538361508451</v>
      </c>
      <c r="H125" s="140">
        <f ca="1">MIN(TblPop[[#This Row],[Peasants]],TblPop[[#This Row],[Jobs]])</f>
        <v>140</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629</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-1</v>
      </c>
      <c r="X125" s="94">
        <f ca="1">ROUND(TblPop[[#This Row],[Raw Birth]]*(1+TblPop[[#This Row],[Growth]]),0)</f>
        <v>4</v>
      </c>
      <c r="Y125" s="94">
        <f ca="1">(TblPop[[#This Row],[Peasants]]-TblPop[[#This Row],[Draft Growth]])*raw_pop_growth</f>
        <v>4.17</v>
      </c>
      <c r="Z125" s="94">
        <f ca="1">ROUND(IF(TblPop[[#This Row],[Military%]]&lt;TblMili[[#This Row],[Draftrate]],ROUND(TblPop[[#This Row],[Peasants]]*Constants!$B$55,0), 0) * IF(AND(TblMagic[[#This Row],[Active DnD]]&lt;=12,TblMagic[[#This Row],[Active DnD]]&gt;6),1.6,1),0)</f>
        <v>1</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45820.083333333037</v>
      </c>
      <c r="C126" s="94">
        <f ca="1">OFFSET(TblPop[[#This Row],[Peasants]],-1,0)+OFFSET(TblPop[[#This Row],[Net Peasant]],-1,0)+TblMili[[#This Row],[Release Draft]]</f>
        <v>139</v>
      </c>
      <c r="D126" s="94">
        <f ca="1">TblMili[[#This Row],[Military]]</f>
        <v>630</v>
      </c>
      <c r="E126" s="94">
        <f ca="1">TblMili[[#This Row],[Draftees]]</f>
        <v>630</v>
      </c>
      <c r="F126" s="94">
        <f ca="1">TblPop[[#This Row],[Peasants]]+TblPop[[#This Row],[Military]]</f>
        <v>769</v>
      </c>
      <c r="G126" s="139">
        <f ca="1">TblPop[[#This Row],[Military]]/TblPop[[#This Row],[Total]]</f>
        <v>0.8192457737321196</v>
      </c>
      <c r="H126" s="140">
        <f ca="1">MIN(TblPop[[#This Row],[Peasants]],TblPop[[#This Row],[Jobs]])</f>
        <v>139</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630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-1</v>
      </c>
      <c r="X126" s="94">
        <f ca="1">ROUND(TblPop[[#This Row],[Raw Birth]]*(1+TblPop[[#This Row],[Growth]]),0)</f>
        <v>4</v>
      </c>
      <c r="Y126" s="94">
        <f ca="1">(TblPop[[#This Row],[Peasants]]-TblPop[[#This Row],[Draft Growth]])*raw_pop_growth</f>
        <v>4.1399999999999997</v>
      </c>
      <c r="Z126" s="94">
        <f ca="1">ROUND(IF(TblPop[[#This Row],[Military%]]&lt;TblMili[[#This Row],[Draftrate]],ROUND(TblPop[[#This Row],[Peasants]]*Constants!$B$55,0), 0) * IF(AND(TblMagic[[#This Row],[Active DnD]]&lt;=12,TblMagic[[#This Row],[Active DnD]]&gt;6),1.6,1),0)</f>
        <v>1</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45820.124999999702</v>
      </c>
      <c r="C127" s="94">
        <f ca="1">OFFSET(TblPop[[#This Row],[Peasants]],-1,0)+OFFSET(TblPop[[#This Row],[Net Peasant]],-1,0)+TblMili[[#This Row],[Release Draft]]</f>
        <v>138</v>
      </c>
      <c r="D127" s="94">
        <f ca="1">TblMili[[#This Row],[Military]]</f>
        <v>631</v>
      </c>
      <c r="E127" s="94">
        <f ca="1">TblMili[[#This Row],[Draftees]]</f>
        <v>631</v>
      </c>
      <c r="F127" s="94">
        <f ca="1">TblPop[[#This Row],[Peasants]]+TblPop[[#This Row],[Military]]</f>
        <v>769</v>
      </c>
      <c r="G127" s="139">
        <f ca="1">TblPop[[#This Row],[Military]]/TblPop[[#This Row],[Total]]</f>
        <v>0.8205461638491548</v>
      </c>
      <c r="H127" s="140">
        <f ca="1">MIN(TblPop[[#This Row],[Peasants]],TblPop[[#This Row],[Jobs]])</f>
        <v>138</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631</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-1</v>
      </c>
      <c r="X127" s="94">
        <f ca="1">ROUND(TblPop[[#This Row],[Raw Birth]]*(1+TblPop[[#This Row],[Growth]]),0)</f>
        <v>4</v>
      </c>
      <c r="Y127" s="94">
        <f ca="1">(TblPop[[#This Row],[Peasants]]-TblPop[[#This Row],[Draft Growth]])*raw_pop_growth</f>
        <v>4.1099999999999994</v>
      </c>
      <c r="Z127" s="94">
        <f ca="1">ROUND(IF(TblPop[[#This Row],[Military%]]&lt;TblMili[[#This Row],[Draftrate]],ROUND(TblPop[[#This Row],[Peasants]]*Constants!$B$55,0), 0) * IF(AND(TblMagic[[#This Row],[Active DnD]]&lt;=12,TblMagic[[#This Row],[Active DnD]]&gt;6),1.6,1),0)</f>
        <v>1</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45820.166666666366</v>
      </c>
      <c r="C128" s="94">
        <f ca="1">OFFSET(TblPop[[#This Row],[Peasants]],-1,0)+OFFSET(TblPop[[#This Row],[Net Peasant]],-1,0)+TblMili[[#This Row],[Release Draft]]</f>
        <v>137</v>
      </c>
      <c r="D128" s="94">
        <f ca="1">TblMili[[#This Row],[Military]]</f>
        <v>632</v>
      </c>
      <c r="E128" s="94">
        <f ca="1">TblMili[[#This Row],[Draftees]]</f>
        <v>632</v>
      </c>
      <c r="F128" s="94">
        <f ca="1">TblPop[[#This Row],[Peasants]]+TblPop[[#This Row],[Military]]</f>
        <v>769</v>
      </c>
      <c r="G128" s="139">
        <f ca="1">TblPop[[#This Row],[Military]]/TblPop[[#This Row],[Total]]</f>
        <v>0.82184655396618989</v>
      </c>
      <c r="H128" s="140">
        <f ca="1">MIN(TblPop[[#This Row],[Peasants]],TblPop[[#This Row],[Jobs]])</f>
        <v>137</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632</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-1</v>
      </c>
      <c r="X128" s="94">
        <f ca="1">ROUND(TblPop[[#This Row],[Raw Birth]]*(1+TblPop[[#This Row],[Growth]]),0)</f>
        <v>4</v>
      </c>
      <c r="Y128" s="94">
        <f ca="1">(TblPop[[#This Row],[Peasants]]-TblPop[[#This Row],[Draft Growth]])*raw_pop_growth</f>
        <v>4.08</v>
      </c>
      <c r="Z128" s="94">
        <f ca="1">ROUND(IF(TblPop[[#This Row],[Military%]]&lt;TblMili[[#This Row],[Draftrate]],ROUND(TblPop[[#This Row],[Peasants]]*Constants!$B$55,0), 0) * IF(AND(TblMagic[[#This Row],[Active DnD]]&lt;=12,TblMagic[[#This Row],[Active DnD]]&gt;6),1.6,1),0)</f>
        <v>1</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45820.20833333303</v>
      </c>
      <c r="C129" s="94">
        <f ca="1">OFFSET(TblPop[[#This Row],[Peasants]],-1,0)+OFFSET(TblPop[[#This Row],[Net Peasant]],-1,0)+TblMili[[#This Row],[Release Draft]]</f>
        <v>136</v>
      </c>
      <c r="D129" s="94">
        <f ca="1">TblMili[[#This Row],[Military]]</f>
        <v>633</v>
      </c>
      <c r="E129" s="94">
        <f ca="1">TblMili[[#This Row],[Draftees]]</f>
        <v>633</v>
      </c>
      <c r="F129" s="94">
        <f ca="1">TblPop[[#This Row],[Peasants]]+TblPop[[#This Row],[Military]]</f>
        <v>769</v>
      </c>
      <c r="G129" s="139">
        <f ca="1">TblPop[[#This Row],[Military]]/TblPop[[#This Row],[Total]]</f>
        <v>0.82314694408322497</v>
      </c>
      <c r="H129" s="140">
        <f ca="1">MIN(TblPop[[#This Row],[Peasants]],TblPop[[#This Row],[Jobs]])</f>
        <v>136</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633</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-1</v>
      </c>
      <c r="X129" s="94">
        <f ca="1">ROUND(TblPop[[#This Row],[Raw Birth]]*(1+TblPop[[#This Row],[Growth]]),0)</f>
        <v>4</v>
      </c>
      <c r="Y129" s="94">
        <f ca="1">(TblPop[[#This Row],[Peasants]]-TblPop[[#This Row],[Draft Growth]])*raw_pop_growth</f>
        <v>4.05</v>
      </c>
      <c r="Z129" s="94">
        <f ca="1">ROUND(IF(TblPop[[#This Row],[Military%]]&lt;TblMili[[#This Row],[Draftrate]],ROUND(TblPop[[#This Row],[Peasants]]*Constants!$B$55,0), 0) * IF(AND(TblMagic[[#This Row],[Active DnD]]&lt;=12,TblMagic[[#This Row],[Active DnD]]&gt;6),1.6,1),0)</f>
        <v>1</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45820.249999999694</v>
      </c>
      <c r="C130" s="94">
        <f ca="1">OFFSET(TblPop[[#This Row],[Peasants]],-1,0)+OFFSET(TblPop[[#This Row],[Net Peasant]],-1,0)+TblMili[[#This Row],[Release Draft]]</f>
        <v>135</v>
      </c>
      <c r="D130" s="94">
        <f ca="1">TblMili[[#This Row],[Military]]</f>
        <v>634</v>
      </c>
      <c r="E130" s="94">
        <f ca="1">TblMili[[#This Row],[Draftees]]</f>
        <v>634</v>
      </c>
      <c r="F130" s="94">
        <f ca="1">TblPop[[#This Row],[Peasants]]+TblPop[[#This Row],[Military]]</f>
        <v>769</v>
      </c>
      <c r="G130" s="139">
        <f ca="1">TblPop[[#This Row],[Military]]/TblPop[[#This Row],[Total]]</f>
        <v>0.82444733420026006</v>
      </c>
      <c r="H130" s="140">
        <f ca="1">MIN(TblPop[[#This Row],[Peasants]],TblPop[[#This Row],[Jobs]])</f>
        <v>135</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634</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-1</v>
      </c>
      <c r="X130" s="94">
        <f ca="1">ROUND(TblPop[[#This Row],[Raw Birth]]*(1+TblPop[[#This Row],[Growth]]),0)</f>
        <v>4</v>
      </c>
      <c r="Y130" s="94">
        <f ca="1">(TblPop[[#This Row],[Peasants]]-TblPop[[#This Row],[Draft Growth]])*raw_pop_growth</f>
        <v>4.0199999999999996</v>
      </c>
      <c r="Z130" s="94">
        <f ca="1">ROUND(IF(TblPop[[#This Row],[Military%]]&lt;TblMili[[#This Row],[Draftrate]],ROUND(TblPop[[#This Row],[Peasants]]*Constants!$B$55,0), 0) * IF(AND(TblMagic[[#This Row],[Active DnD]]&lt;=12,TblMagic[[#This Row],[Active DnD]]&gt;6),1.6,1),0)</f>
        <v>1</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45820.291666666359</v>
      </c>
      <c r="C131" s="94">
        <f ca="1">OFFSET(TblPop[[#This Row],[Peasants]],-1,0)+OFFSET(TblPop[[#This Row],[Net Peasant]],-1,0)+TblMili[[#This Row],[Release Draft]]</f>
        <v>134</v>
      </c>
      <c r="D131" s="94">
        <f ca="1">TblMili[[#This Row],[Military]]</f>
        <v>635</v>
      </c>
      <c r="E131" s="94">
        <f ca="1">TblMili[[#This Row],[Draftees]]</f>
        <v>635</v>
      </c>
      <c r="F131" s="94">
        <f ca="1">TblPop[[#This Row],[Peasants]]+TblPop[[#This Row],[Military]]</f>
        <v>769</v>
      </c>
      <c r="G131" s="139">
        <f ca="1">TblPop[[#This Row],[Military]]/TblPop[[#This Row],[Total]]</f>
        <v>0.82574772431729515</v>
      </c>
      <c r="H131" s="140">
        <f ca="1">MIN(TblPop[[#This Row],[Peasants]],TblPop[[#This Row],[Jobs]])</f>
        <v>134</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635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-1</v>
      </c>
      <c r="X131" s="94">
        <f ca="1">ROUND(TblPop[[#This Row],[Raw Birth]]*(1+TblPop[[#This Row],[Growth]]),0)</f>
        <v>4</v>
      </c>
      <c r="Y131" s="94">
        <f ca="1">(TblPop[[#This Row],[Peasants]]-TblPop[[#This Row],[Draft Growth]])*raw_pop_growth</f>
        <v>3.9899999999999998</v>
      </c>
      <c r="Z131" s="94">
        <f ca="1">ROUND(IF(TblPop[[#This Row],[Military%]]&lt;TblMili[[#This Row],[Draftrate]],ROUND(TblPop[[#This Row],[Peasants]]*Constants!$B$55,0), 0) * IF(AND(TblMagic[[#This Row],[Active DnD]]&lt;=12,TblMagic[[#This Row],[Active DnD]]&gt;6),1.6,1),0)</f>
        <v>1</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45820.333333333023</v>
      </c>
      <c r="C132" s="94">
        <f ca="1">OFFSET(TblPop[[#This Row],[Peasants]],-1,0)+OFFSET(TblPop[[#This Row],[Net Peasant]],-1,0)+TblMili[[#This Row],[Release Draft]]</f>
        <v>133</v>
      </c>
      <c r="D132" s="94">
        <f ca="1">TblMili[[#This Row],[Military]]</f>
        <v>636</v>
      </c>
      <c r="E132" s="94">
        <f ca="1">TblMili[[#This Row],[Draftees]]</f>
        <v>636</v>
      </c>
      <c r="F132" s="94">
        <f ca="1">TblPop[[#This Row],[Peasants]]+TblPop[[#This Row],[Military]]</f>
        <v>769</v>
      </c>
      <c r="G132" s="139">
        <f ca="1">TblPop[[#This Row],[Military]]/TblPop[[#This Row],[Total]]</f>
        <v>0.82704811443433035</v>
      </c>
      <c r="H132" s="140">
        <f ca="1">MIN(TblPop[[#This Row],[Peasants]],TblPop[[#This Row],[Jobs]])</f>
        <v>133</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636</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-1</v>
      </c>
      <c r="X132" s="94">
        <f ca="1">ROUND(TblPop[[#This Row],[Raw Birth]]*(1+TblPop[[#This Row],[Growth]]),0)</f>
        <v>4</v>
      </c>
      <c r="Y132" s="94">
        <f ca="1">(TblPop[[#This Row],[Peasants]]-TblPop[[#This Row],[Draft Growth]])*raw_pop_growth</f>
        <v>3.96</v>
      </c>
      <c r="Z132" s="94">
        <f ca="1">ROUND(IF(TblPop[[#This Row],[Military%]]&lt;TblMili[[#This Row],[Draftrate]],ROUND(TblPop[[#This Row],[Peasants]]*Constants!$B$55,0), 0) * IF(AND(TblMagic[[#This Row],[Active DnD]]&lt;=12,TblMagic[[#This Row],[Active DnD]]&gt;6),1.6,1),0)</f>
        <v>1</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45820.374999999687</v>
      </c>
      <c r="C133" s="94">
        <f ca="1">OFFSET(TblPop[[#This Row],[Peasants]],-1,0)+OFFSET(TblPop[[#This Row],[Net Peasant]],-1,0)+TblMili[[#This Row],[Release Draft]]</f>
        <v>132</v>
      </c>
      <c r="D133" s="94">
        <f ca="1">TblMili[[#This Row],[Military]]</f>
        <v>637</v>
      </c>
      <c r="E133" s="94">
        <f ca="1">TblMili[[#This Row],[Draftees]]</f>
        <v>637</v>
      </c>
      <c r="F133" s="94">
        <f ca="1">TblPop[[#This Row],[Peasants]]+TblPop[[#This Row],[Military]]</f>
        <v>769</v>
      </c>
      <c r="G133" s="139">
        <f ca="1">TblPop[[#This Row],[Military]]/TblPop[[#This Row],[Total]]</f>
        <v>0.82834850455136544</v>
      </c>
      <c r="H133" s="140">
        <f ca="1">MIN(TblPop[[#This Row],[Peasants]],TblPop[[#This Row],[Jobs]])</f>
        <v>132</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637</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-1</v>
      </c>
      <c r="X133" s="94">
        <f ca="1">ROUND(TblPop[[#This Row],[Raw Birth]]*(1+TblPop[[#This Row],[Growth]]),0)</f>
        <v>4</v>
      </c>
      <c r="Y133" s="94">
        <f ca="1">(TblPop[[#This Row],[Peasants]]-TblPop[[#This Row],[Draft Growth]])*raw_pop_growth</f>
        <v>3.9299999999999997</v>
      </c>
      <c r="Z133" s="94">
        <f ca="1">ROUND(IF(TblPop[[#This Row],[Military%]]&lt;TblMili[[#This Row],[Draftrate]],ROUND(TblPop[[#This Row],[Peasants]]*Constants!$B$55,0), 0) * IF(AND(TblMagic[[#This Row],[Active DnD]]&lt;=12,TblMagic[[#This Row],[Active DnD]]&gt;6),1.6,1),0)</f>
        <v>1</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45820.416666666351</v>
      </c>
      <c r="C134" s="94">
        <f ca="1">OFFSET(TblPop[[#This Row],[Peasants]],-1,0)+OFFSET(TblPop[[#This Row],[Net Peasant]],-1,0)+TblMili[[#This Row],[Release Draft]]</f>
        <v>131</v>
      </c>
      <c r="D134" s="94">
        <f ca="1">TblMili[[#This Row],[Military]]</f>
        <v>638</v>
      </c>
      <c r="E134" s="94">
        <f ca="1">TblMili[[#This Row],[Draftees]]</f>
        <v>638</v>
      </c>
      <c r="F134" s="94">
        <f ca="1">TblPop[[#This Row],[Peasants]]+TblPop[[#This Row],[Military]]</f>
        <v>769</v>
      </c>
      <c r="G134" s="139">
        <f ca="1">TblPop[[#This Row],[Military]]/TblPop[[#This Row],[Total]]</f>
        <v>0.82964889466840053</v>
      </c>
      <c r="H134" s="140">
        <f ca="1">MIN(TblPop[[#This Row],[Peasants]],TblPop[[#This Row],[Jobs]])</f>
        <v>131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638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-1</v>
      </c>
      <c r="X134" s="94">
        <f ca="1">ROUND(TblPop[[#This Row],[Raw Birth]]*(1+TblPop[[#This Row],[Growth]]),0)</f>
        <v>4</v>
      </c>
      <c r="Y134" s="94">
        <f ca="1">(TblPop[[#This Row],[Peasants]]-TblPop[[#This Row],[Draft Growth]])*raw_pop_growth</f>
        <v>3.9</v>
      </c>
      <c r="Z134" s="94">
        <f ca="1">ROUND(IF(TblPop[[#This Row],[Military%]]&lt;TblMili[[#This Row],[Draftrate]],ROUND(TblPop[[#This Row],[Peasants]]*Constants!$B$55,0), 0) * IF(AND(TblMagic[[#This Row],[Active DnD]]&lt;=12,TblMagic[[#This Row],[Active DnD]]&gt;6),1.6,1),0)</f>
        <v>1</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45820.458333333016</v>
      </c>
      <c r="C135" s="94">
        <f ca="1">OFFSET(TblPop[[#This Row],[Peasants]],-1,0)+OFFSET(TblPop[[#This Row],[Net Peasant]],-1,0)+TblMili[[#This Row],[Release Draft]]</f>
        <v>130</v>
      </c>
      <c r="D135" s="94">
        <f ca="1">TblMili[[#This Row],[Military]]</f>
        <v>639</v>
      </c>
      <c r="E135" s="94">
        <f ca="1">TblMili[[#This Row],[Draftees]]</f>
        <v>639</v>
      </c>
      <c r="F135" s="94">
        <f ca="1">TblPop[[#This Row],[Peasants]]+TblPop[[#This Row],[Military]]</f>
        <v>769</v>
      </c>
      <c r="G135" s="139">
        <f ca="1">TblPop[[#This Row],[Military]]/TblPop[[#This Row],[Total]]</f>
        <v>0.83094928478543562</v>
      </c>
      <c r="H135" s="140">
        <f ca="1">MIN(TblPop[[#This Row],[Peasants]],TblPop[[#This Row],[Jobs]])</f>
        <v>130</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639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-1</v>
      </c>
      <c r="X135" s="94">
        <f ca="1">ROUND(TblPop[[#This Row],[Raw Birth]]*(1+TblPop[[#This Row],[Growth]]),0)</f>
        <v>4</v>
      </c>
      <c r="Y135" s="94">
        <f ca="1">(TblPop[[#This Row],[Peasants]]-TblPop[[#This Row],[Draft Growth]])*raw_pop_growth</f>
        <v>3.8699999999999997</v>
      </c>
      <c r="Z135" s="94">
        <f ca="1">ROUND(IF(TblPop[[#This Row],[Military%]]&lt;TblMili[[#This Row],[Draftrate]],ROUND(TblPop[[#This Row],[Peasants]]*Constants!$B$55,0), 0) * IF(AND(TblMagic[[#This Row],[Active DnD]]&lt;=12,TblMagic[[#This Row],[Active DnD]]&gt;6),1.6,1),0)</f>
        <v>1</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45820.49999999968</v>
      </c>
      <c r="C136" s="94">
        <f ca="1">OFFSET(TblPop[[#This Row],[Peasants]],-1,0)+OFFSET(TblPop[[#This Row],[Net Peasant]],-1,0)+TblMili[[#This Row],[Release Draft]]</f>
        <v>129</v>
      </c>
      <c r="D136" s="94">
        <f ca="1">TblMili[[#This Row],[Military]]</f>
        <v>640</v>
      </c>
      <c r="E136" s="94">
        <f ca="1">TblMili[[#This Row],[Draftees]]</f>
        <v>640</v>
      </c>
      <c r="F136" s="94">
        <f ca="1">TblPop[[#This Row],[Peasants]]+TblPop[[#This Row],[Military]]</f>
        <v>769</v>
      </c>
      <c r="G136" s="139">
        <f ca="1">TblPop[[#This Row],[Military]]/TblPop[[#This Row],[Total]]</f>
        <v>0.8322496749024707</v>
      </c>
      <c r="H136" s="140">
        <f ca="1">MIN(TblPop[[#This Row],[Peasants]],TblPop[[#This Row],[Jobs]])</f>
        <v>129</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640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3.84</v>
      </c>
      <c r="Z136" s="94">
        <f ca="1">ROUND(IF(TblPop[[#This Row],[Military%]]&lt;TblMili[[#This Row],[Draftrate]],ROUND(TblPop[[#This Row],[Peasants]]*Constants!$B$55,0), 0) * IF(AND(TblMagic[[#This Row],[Active DnD]]&lt;=12,TblMagic[[#This Row],[Active DnD]]&gt;6),1.6,1),0)</f>
        <v>1</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1" t="s">
        <v>314</v>
      </c>
      <c r="D1269" s="487"/>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4" t="s">
        <v>247</v>
      </c>
      <c r="T1" s="534"/>
      <c r="U1" s="534"/>
      <c r="AA1" s="534" t="s">
        <v>85</v>
      </c>
      <c r="AB1" s="534"/>
      <c r="AH1" s="534" t="s">
        <v>164</v>
      </c>
      <c r="AI1" s="534"/>
      <c r="AJ1" s="534"/>
      <c r="AK1" s="534"/>
      <c r="AL1" s="534"/>
      <c r="AM1" s="534"/>
      <c r="AO1" s="5" t="s">
        <v>19</v>
      </c>
      <c r="AT1" s="534" t="s">
        <v>184</v>
      </c>
      <c r="AU1" s="534"/>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45815</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120000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tech]],-1,0)*150,0)),3750)</f>
        <v>3750</v>
      </c>
      <c r="R4" s="142"/>
      <c r="S4" s="94">
        <f ca="1">ROUNDDOWN(TblProd[[#This Row],[Raw Plat/hr]]*(1+TblProd[[#This Row],[Bonus Plat/hr]]),0)</f>
        <v>1266</v>
      </c>
      <c r="T4" s="94">
        <f ca="1">ROUND(TblProd[[#This Row],[Raw Food/hr]]*(1+TblProd[[#This Row],[Bonus Food/hr]])-TblProd[[#This Row],[Food decay]]-TblProd[[#This Row],[Food eaten]],0)</f>
        <v>2238</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Demonic Pact]]&gt;0,demonic_pact_food_cons,0))</f>
        <v>192.25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45815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120000</v>
      </c>
      <c r="BJ4" s="94">
        <f>TblProd[[#This Row],[Food]]</f>
        <v>15000</v>
      </c>
      <c r="BK4" s="94">
        <f ca="1">TblProd[[#This Row],[Lumber]]</f>
        <v>15000</v>
      </c>
      <c r="BL4" s="94">
        <f ca="1">TblProd[[#This Row],[Mana]]</f>
        <v>0</v>
      </c>
      <c r="BM4" s="94">
        <f ca="1">TblProd[[#This Row],[Ore]]</f>
        <v>0</v>
      </c>
    </row>
    <row r="5" spans="1:65" x14ac:dyDescent="0.2">
      <c r="A5" s="137">
        <v>2</v>
      </c>
      <c r="B5" s="152">
        <f ca="1">TblImps[[#This Row],[Time]]</f>
        <v>45815.041666666664</v>
      </c>
      <c r="C5" s="153"/>
      <c r="D5" s="154"/>
      <c r="E5" s="94">
        <f ca="1">TblConstr[[#This Row],[Land]]</f>
        <v>50</v>
      </c>
      <c r="F5" s="94">
        <f ca="1">TblPop[[#This Row],[Peasants]]</f>
        <v>464</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121266</v>
      </c>
      <c r="I5" s="94">
        <f ca="1">OFFSET(TblProd[[#This Row],[Food]],-1,0)+OFFSET(TblProd[[#This Row],[Food/hr]],-1,0)+ROUNDUP((TblConstr[[#This Row],[Farms]]*80+TblConstr[[#This Row],[Docks]]*35)*(1+OFFSET(TblProd[[#This Row],[Bonus Food/hr]],-1,0)),0)</f>
        <v>17238</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MAX(3750,_xlfn.CEILING.MATH(TblProd[[#This Row],[Land]]*2.5+OFFSET(TblTech[[#This Row],[Sum of tech]],-1,0)*150))</f>
        <v>3750</v>
      </c>
      <c r="R5" s="142"/>
      <c r="S5" s="94">
        <f ca="1">ROUNDDOWN(TblProd[[#This Row],[Raw Plat/hr]]*(1+TblProd[[#This Row],[Bonus Plat/hr]]),0)</f>
        <v>1252</v>
      </c>
      <c r="T5" s="94">
        <f ca="1">ROUND(TblProd[[#This Row],[Raw Food/hr]]*(1+TblProd[[#This Row],[Bonus Food/hr]])-TblProd[[#This Row],[Food decay]]-TblProd[[#This Row],[Food eaten]],0)</f>
        <v>2215</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1252.8000000000002</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172.38</v>
      </c>
      <c r="AP5" s="94">
        <f ca="1">(1+race_food_consumption)*TblPop[[#This Row],[Total]]*food_per_person*(1+tech_1_10*TblTech[[#This Row],[1-10]]+tech_7_5*TblTech[[#This Row],[7-5]] + IF(TblMagic[[#This Row],[Active Demonic Pact]]&gt;0,demonic_pact_food_cons,0))</f>
        <v>192.25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153"/>
      <c r="BB5" s="45">
        <f>TblProd[[#This Row],[Hour]]</f>
        <v>2</v>
      </c>
      <c r="BC5" s="158">
        <f>-TblProd[[#This Row],[Bank Lumber]] / 2 + -TblProd[[#This Row],[Bank Gems]] * 2 + -TblProd[[#This Row],[Bank Ore]] / 2</f>
        <v>0</v>
      </c>
      <c r="BD5" s="158"/>
      <c r="BE5" s="158"/>
      <c r="BF5" s="158"/>
      <c r="BG5" s="159">
        <f ca="1">TblProd[[#This Row],[Time]]</f>
        <v>45815.041666666664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121266</v>
      </c>
      <c r="BJ5" s="94">
        <f ca="1">TblProd[[#This Row],[Food]]</f>
        <v>17238</v>
      </c>
      <c r="BK5" s="94">
        <f ca="1">TblProd[[#This Row],[Lumber]]</f>
        <v>15850</v>
      </c>
      <c r="BL5" s="94">
        <f ca="1">TblProd[[#This Row],[Mana]]</f>
        <v>0</v>
      </c>
      <c r="BM5" s="94">
        <f ca="1">TblProd[[#This Row],[Ore]]</f>
        <v>0</v>
      </c>
    </row>
    <row r="6" spans="1:65" x14ac:dyDescent="0.2">
      <c r="A6" s="137">
        <v>3</v>
      </c>
      <c r="B6" s="152">
        <f ca="1">TblImps[[#This Row],[Time]]</f>
        <v>45815.083333333328</v>
      </c>
      <c r="C6" s="153"/>
      <c r="D6" s="154"/>
      <c r="E6" s="94">
        <f ca="1">TblConstr[[#This Row],[Land]]</f>
        <v>50</v>
      </c>
      <c r="F6" s="94">
        <f ca="1">TblPop[[#This Row],[Peasants]]</f>
        <v>459</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122518</v>
      </c>
      <c r="I6" s="94">
        <f ca="1">OFFSET(TblProd[[#This Row],[Food]],-1,0)+OFFSET(TblProd[[#This Row],[Food/hr]],-1,0)+ROUNDUP((TblConstr[[#This Row],[Farms]]*80+TblConstr[[#This Row],[Docks]]*35)*(1+OFFSET(TblProd[[#This Row],[Bonus Food/hr]],-1,0)),0)</f>
        <v>19453</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MAX(3750,_xlfn.CEILING.MATH(TblProd[[#This Row],[Land]]*2.5+OFFSET(TblTech[[#This Row],[Sum of tech]],-1,0)*150))</f>
        <v>3750</v>
      </c>
      <c r="R6" s="142"/>
      <c r="S6" s="94">
        <f ca="1">ROUNDDOWN(TblProd[[#This Row],[Raw Plat/hr]]*(1+TblProd[[#This Row],[Bonus Plat/hr]]),0)</f>
        <v>1239</v>
      </c>
      <c r="T6" s="94">
        <f ca="1">ROUND(TblProd[[#This Row],[Raw Food/hr]]*(1+TblProd[[#This Row],[Bonus Food/hr]])-TblProd[[#This Row],[Food decay]]-TblProd[[#This Row],[Food eaten]],0)</f>
        <v>2193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1239.3000000000002</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194.53</v>
      </c>
      <c r="AP6" s="94">
        <f ca="1">(1+race_food_consumption)*TblPop[[#This Row],[Total]]*food_per_person*(1+tech_1_10*TblTech[[#This Row],[1-10]]+tech_7_5*TblTech[[#This Row],[7-5]] + IF(TblMagic[[#This Row],[Active Demonic Pact]]&gt;0,demonic_pact_food_cons,0))</f>
        <v>192.25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153"/>
      <c r="BB6" s="45">
        <f>TblProd[[#This Row],[Hour]]</f>
        <v>3</v>
      </c>
      <c r="BC6" s="158">
        <f>-TblProd[[#This Row],[Bank Lumber]] / 2 + -TblProd[[#This Row],[Bank Gems]] * 2 + -TblProd[[#This Row],[Bank Ore]] / 2</f>
        <v>0</v>
      </c>
      <c r="BD6" s="158"/>
      <c r="BE6" s="158"/>
      <c r="BF6" s="158"/>
      <c r="BG6" s="159">
        <f ca="1">TblProd[[#This Row],[Time]]</f>
        <v>45815.083333333328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122518</v>
      </c>
      <c r="BJ6" s="94">
        <f ca="1">TblProd[[#This Row],[Food]]</f>
        <v>19453</v>
      </c>
      <c r="BK6" s="94">
        <f ca="1">TblProd[[#This Row],[Lumber]]</f>
        <v>16692</v>
      </c>
      <c r="BL6" s="94">
        <f ca="1">TblProd[[#This Row],[Mana]]</f>
        <v>0</v>
      </c>
      <c r="BM6" s="94">
        <f ca="1">TblProd[[#This Row],[Ore]]</f>
        <v>0</v>
      </c>
    </row>
    <row r="7" spans="1:65" x14ac:dyDescent="0.2">
      <c r="A7" s="137">
        <v>4</v>
      </c>
      <c r="B7" s="152">
        <f ca="1">TblImps[[#This Row],[Time]]</f>
        <v>45815.124999999993</v>
      </c>
      <c r="C7" s="153"/>
      <c r="D7" s="154"/>
      <c r="E7" s="94">
        <f ca="1">TblConstr[[#This Row],[Land]]</f>
        <v>50</v>
      </c>
      <c r="F7" s="94">
        <f ca="1">TblPop[[#This Row],[Peasants]]</f>
        <v>454</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123757</v>
      </c>
      <c r="I7" s="94">
        <f ca="1">OFFSET(TblProd[[#This Row],[Food]],-1,0)+OFFSET(TblProd[[#This Row],[Food/hr]],-1,0)+ROUNDUP((TblConstr[[#This Row],[Farms]]*80+TblConstr[[#This Row],[Docks]]*35)*(1+OFFSET(TblProd[[#This Row],[Bonus Food/hr]],-1,0)),0)</f>
        <v>21646</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MAX(3750,_xlfn.CEILING.MATH(TblProd[[#This Row],[Land]]*2.5+OFFSET(TblTech[[#This Row],[Sum of tech]],-1,0)*150))</f>
        <v>3750</v>
      </c>
      <c r="R7" s="142"/>
      <c r="S7" s="94">
        <f ca="1">ROUNDDOWN(TblProd[[#This Row],[Raw Plat/hr]]*(1+TblProd[[#This Row],[Bonus Plat/hr]]),0)</f>
        <v>1225</v>
      </c>
      <c r="T7" s="94">
        <f ca="1">ROUND(TblProd[[#This Row],[Raw Food/hr]]*(1+TblProd[[#This Row],[Bonus Food/hr]])-TblProd[[#This Row],[Food decay]]-TblProd[[#This Row],[Food eaten]],0)</f>
        <v>2171</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1225.8000000000002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216.46</v>
      </c>
      <c r="AP7" s="94">
        <f ca="1">(1+race_food_consumption)*TblPop[[#This Row],[Total]]*food_per_person*(1+tech_1_10*TblTech[[#This Row],[1-10]]+tech_7_5*TblTech[[#This Row],[7-5]] + IF(TblMagic[[#This Row],[Active Demonic Pact]]&gt;0,demonic_pact_food_cons,0))</f>
        <v>192.25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153"/>
      <c r="BB7" s="45">
        <f>TblProd[[#This Row],[Hour]]</f>
        <v>4</v>
      </c>
      <c r="BC7" s="158">
        <f>-TblProd[[#This Row],[Bank Lumber]] / 2 + -TblProd[[#This Row],[Bank Gems]] * 2 + -TblProd[[#This Row],[Bank Ore]] / 2</f>
        <v>0</v>
      </c>
      <c r="BD7" s="158"/>
      <c r="BE7" s="158"/>
      <c r="BF7" s="158"/>
      <c r="BG7" s="159">
        <f ca="1">TblProd[[#This Row],[Time]]</f>
        <v>45815.124999999993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123757</v>
      </c>
      <c r="BJ7" s="94">
        <f ca="1">TblProd[[#This Row],[Food]]</f>
        <v>21646</v>
      </c>
      <c r="BK7" s="94">
        <f ca="1">TblProd[[#This Row],[Lumber]]</f>
        <v>17525</v>
      </c>
      <c r="BL7" s="94">
        <f ca="1">TblProd[[#This Row],[Mana]]</f>
        <v>0</v>
      </c>
      <c r="BM7" s="94">
        <f ca="1">TblProd[[#This Row],[Ore]]</f>
        <v>0</v>
      </c>
    </row>
    <row r="8" spans="1:65" x14ac:dyDescent="0.2">
      <c r="A8" s="137">
        <v>5</v>
      </c>
      <c r="B8" s="152">
        <f ca="1">TblImps[[#This Row],[Time]]</f>
        <v>45815.166666666657</v>
      </c>
      <c r="C8" s="153"/>
      <c r="D8" s="154"/>
      <c r="E8" s="94">
        <f ca="1">TblConstr[[#This Row],[Land]]</f>
        <v>50</v>
      </c>
      <c r="F8" s="94">
        <f ca="1">TblPop[[#This Row],[Peasants]]</f>
        <v>449</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124982</v>
      </c>
      <c r="I8" s="94">
        <f ca="1">OFFSET(TblProd[[#This Row],[Food]],-1,0)+OFFSET(TblProd[[#This Row],[Food/hr]],-1,0)+ROUNDUP((TblConstr[[#This Row],[Farms]]*80+TblConstr[[#This Row],[Docks]]*35)*(1+OFFSET(TblProd[[#This Row],[Bonus Food/hr]],-1,0)),0)</f>
        <v>23817</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MAX(3750,_xlfn.CEILING.MATH(TblProd[[#This Row],[Land]]*2.5+OFFSET(TblTech[[#This Row],[Sum of tech]],-1,0)*150))</f>
        <v>3750</v>
      </c>
      <c r="R8" s="142"/>
      <c r="S8" s="94">
        <f ca="1">ROUNDDOWN(TblProd[[#This Row],[Raw Plat/hr]]*(1+TblProd[[#This Row],[Bonus Plat/hr]]),0)</f>
        <v>1212</v>
      </c>
      <c r="T8" s="94">
        <f ca="1">ROUND(TblProd[[#This Row],[Raw Food/hr]]*(1+TblProd[[#This Row],[Bonus Food/hr]])-TblProd[[#This Row],[Food decay]]-TblProd[[#This Row],[Food eaten]],0)</f>
        <v>2150</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1212.3000000000002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238.17000000000002</v>
      </c>
      <c r="AP8" s="94">
        <f ca="1">(1+race_food_consumption)*TblPop[[#This Row],[Total]]*food_per_person*(1+tech_1_10*TblTech[[#This Row],[1-10]]+tech_7_5*TblTech[[#This Row],[7-5]] + IF(TblMagic[[#This Row],[Active Demonic Pact]]&gt;0,demonic_pact_food_cons,0))</f>
        <v>192.25</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153"/>
      <c r="BB8" s="45">
        <f>TblProd[[#This Row],[Hour]]</f>
        <v>5</v>
      </c>
      <c r="BC8" s="158">
        <f>-TblProd[[#This Row],[Bank Lumber]] / 2 + -TblProd[[#This Row],[Bank Gems]] * 2 + -TblProd[[#This Row],[Bank Ore]] / 2</f>
        <v>0</v>
      </c>
      <c r="BD8" s="158"/>
      <c r="BE8" s="158"/>
      <c r="BF8" s="158"/>
      <c r="BG8" s="159">
        <f ca="1">TblProd[[#This Row],[Time]]</f>
        <v>45815.166666666657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124982</v>
      </c>
      <c r="BJ8" s="94">
        <f ca="1">TblProd[[#This Row],[Food]]</f>
        <v>23817</v>
      </c>
      <c r="BK8" s="94">
        <f ca="1">TblProd[[#This Row],[Lumber]]</f>
        <v>18350</v>
      </c>
      <c r="BL8" s="94">
        <f ca="1">TblProd[[#This Row],[Mana]]</f>
        <v>0</v>
      </c>
      <c r="BM8" s="94">
        <f ca="1">TblProd[[#This Row],[Ore]]</f>
        <v>0</v>
      </c>
    </row>
    <row r="9" spans="1:65" x14ac:dyDescent="0.2">
      <c r="A9" s="137">
        <v>6</v>
      </c>
      <c r="B9" s="152">
        <f ca="1">TblImps[[#This Row],[Time]]</f>
        <v>45815.208333333321</v>
      </c>
      <c r="C9" s="153"/>
      <c r="D9" s="154"/>
      <c r="E9" s="94">
        <f ca="1">TblConstr[[#This Row],[Land]]</f>
        <v>50</v>
      </c>
      <c r="F9" s="94">
        <f ca="1">TblPop[[#This Row],[Peasants]]</f>
        <v>445</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126194</v>
      </c>
      <c r="I9" s="94">
        <f ca="1">OFFSET(TblProd[[#This Row],[Food]],-1,0)+OFFSET(TblProd[[#This Row],[Food/hr]],-1,0)+ROUNDUP((TblConstr[[#This Row],[Farms]]*80+TblConstr[[#This Row],[Docks]]*35)*(1+OFFSET(TblProd[[#This Row],[Bonus Food/hr]],-1,0)),0)</f>
        <v>25967</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MAX(3750,_xlfn.CEILING.MATH(TblProd[[#This Row],[Land]]*2.5+OFFSET(TblTech[[#This Row],[Sum of tech]],-1,0)*150))</f>
        <v>3750</v>
      </c>
      <c r="R9" s="142"/>
      <c r="S9" s="94">
        <f ca="1">ROUNDDOWN(TblProd[[#This Row],[Raw Plat/hr]]*(1+TblProd[[#This Row],[Bonus Plat/hr]]),0)</f>
        <v>1201</v>
      </c>
      <c r="T9" s="94">
        <f ca="1">ROUND(TblProd[[#This Row],[Raw Food/hr]]*(1+TblProd[[#This Row],[Bonus Food/hr]])-TblProd[[#This Row],[Food decay]]-TblProd[[#This Row],[Food eaten]],0)</f>
        <v>2128</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1201.5</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259.67</v>
      </c>
      <c r="AP9" s="94">
        <f ca="1">(1+race_food_consumption)*TblPop[[#This Row],[Total]]*food_per_person*(1+tech_1_10*TblTech[[#This Row],[1-10]]+tech_7_5*TblTech[[#This Row],[7-5]] + IF(TblMagic[[#This Row],[Active Demonic Pact]]&gt;0,demonic_pact_food_cons,0))</f>
        <v>192.25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153"/>
      <c r="BB9" s="45">
        <f>TblProd[[#This Row],[Hour]]</f>
        <v>6</v>
      </c>
      <c r="BC9" s="158">
        <f>-TblProd[[#This Row],[Bank Lumber]] / 2 + -TblProd[[#This Row],[Bank Gems]] * 2 + -TblProd[[#This Row],[Bank Ore]] / 2</f>
        <v>0</v>
      </c>
      <c r="BD9" s="158"/>
      <c r="BE9" s="158"/>
      <c r="BF9" s="158"/>
      <c r="BG9" s="159">
        <f ca="1">TblProd[[#This Row],[Time]]</f>
        <v>45815.208333333321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126194</v>
      </c>
      <c r="BJ9" s="94">
        <f ca="1">TblProd[[#This Row],[Food]]</f>
        <v>25967</v>
      </c>
      <c r="BK9" s="94">
        <f ca="1">TblProd[[#This Row],[Lumber]]</f>
        <v>19167</v>
      </c>
      <c r="BL9" s="94">
        <f ca="1">TblProd[[#This Row],[Mana]]</f>
        <v>0</v>
      </c>
      <c r="BM9" s="94">
        <f ca="1">TblProd[[#This Row],[Ore]]</f>
        <v>0</v>
      </c>
    </row>
    <row r="10" spans="1:65" x14ac:dyDescent="0.2">
      <c r="A10" s="137">
        <v>7</v>
      </c>
      <c r="B10" s="152">
        <f ca="1">TblImps[[#This Row],[Time]]</f>
        <v>45815.249999999985</v>
      </c>
      <c r="C10" s="153"/>
      <c r="D10" s="154"/>
      <c r="E10" s="94">
        <f ca="1">TblConstr[[#This Row],[Land]]</f>
        <v>50</v>
      </c>
      <c r="F10" s="94">
        <f ca="1">TblPop[[#This Row],[Peasants]]</f>
        <v>441</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127395</v>
      </c>
      <c r="I10" s="94">
        <f ca="1">OFFSET(TblProd[[#This Row],[Food]],-1,0)+OFFSET(TblProd[[#This Row],[Food/hr]],-1,0)+ROUNDUP((TblConstr[[#This Row],[Farms]]*80+TblConstr[[#This Row],[Docks]]*35)*(1+OFFSET(TblProd[[#This Row],[Bonus Food/hr]],-1,0)),0)</f>
        <v>28095</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MAX(3750,_xlfn.CEILING.MATH(TblProd[[#This Row],[Land]]*2.5+OFFSET(TblTech[[#This Row],[Sum of tech]],-1,0)*150))</f>
        <v>3750</v>
      </c>
      <c r="R10" s="142"/>
      <c r="S10" s="94">
        <f ca="1">ROUNDDOWN(TblProd[[#This Row],[Raw Plat/hr]]*(1+TblProd[[#This Row],[Bonus Plat/hr]]),0)</f>
        <v>1190</v>
      </c>
      <c r="T10" s="94">
        <f ca="1">ROUND(TblProd[[#This Row],[Raw Food/hr]]*(1+TblProd[[#This Row],[Bonus Food/hr]])-TblProd[[#This Row],[Food decay]]-TblProd[[#This Row],[Food eaten]],0)</f>
        <v>2107</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1190.7</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280.95</v>
      </c>
      <c r="AP10" s="94">
        <f ca="1">(1+race_food_consumption)*TblPop[[#This Row],[Total]]*food_per_person*(1+tech_1_10*TblTech[[#This Row],[1-10]]+tech_7_5*TblTech[[#This Row],[7-5]] + IF(TblMagic[[#This Row],[Active Demonic Pact]]&gt;0,demonic_pact_food_cons,0))</f>
        <v>192.25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153"/>
      <c r="BB10" s="45">
        <f>TblProd[[#This Row],[Hour]]</f>
        <v>7</v>
      </c>
      <c r="BC10" s="158">
        <f>-TblProd[[#This Row],[Bank Lumber]] / 2 + -TblProd[[#This Row],[Bank Gems]] * 2 + -TblProd[[#This Row],[Bank Ore]] / 2</f>
        <v>0</v>
      </c>
      <c r="BD10" s="158"/>
      <c r="BE10" s="158"/>
      <c r="BF10" s="158"/>
      <c r="BG10" s="159">
        <f ca="1">TblProd[[#This Row],[Time]]</f>
        <v>45815.249999999985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127395</v>
      </c>
      <c r="BJ10" s="94">
        <f ca="1">TblProd[[#This Row],[Food]]</f>
        <v>28095</v>
      </c>
      <c r="BK10" s="94">
        <f ca="1">TblProd[[#This Row],[Lumber]]</f>
        <v>19975</v>
      </c>
      <c r="BL10" s="94">
        <f ca="1">TblProd[[#This Row],[Mana]]</f>
        <v>0</v>
      </c>
      <c r="BM10" s="94">
        <f ca="1">TblProd[[#This Row],[Ore]]</f>
        <v>0</v>
      </c>
    </row>
    <row r="11" spans="1:65" x14ac:dyDescent="0.2">
      <c r="A11" s="137">
        <v>8</v>
      </c>
      <c r="B11" s="152">
        <f ca="1">TblImps[[#This Row],[Time]]</f>
        <v>45815.29166666665</v>
      </c>
      <c r="C11" s="153"/>
      <c r="D11" s="154"/>
      <c r="E11" s="94">
        <f ca="1">TblConstr[[#This Row],[Land]]</f>
        <v>50</v>
      </c>
      <c r="F11" s="94">
        <f ca="1">TblPop[[#This Row],[Peasants]]</f>
        <v>437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128585</v>
      </c>
      <c r="I11" s="94">
        <f ca="1">OFFSET(TblProd[[#This Row],[Food]],-1,0)+OFFSET(TblProd[[#This Row],[Food/hr]],-1,0)+ROUNDUP((TblConstr[[#This Row],[Farms]]*80+TblConstr[[#This Row],[Docks]]*35)*(1+OFFSET(TblProd[[#This Row],[Bonus Food/hr]],-1,0)),0)</f>
        <v>30202</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MAX(3750,_xlfn.CEILING.MATH(TblProd[[#This Row],[Land]]*2.5+OFFSET(TblTech[[#This Row],[Sum of tech]],-1,0)*150))</f>
        <v>3750</v>
      </c>
      <c r="R11" s="142"/>
      <c r="S11" s="94">
        <f ca="1">ROUNDDOWN(TblProd[[#This Row],[Raw Plat/hr]]*(1+TblProd[[#This Row],[Bonus Plat/hr]]),0)</f>
        <v>1179</v>
      </c>
      <c r="T11" s="94">
        <f ca="1">ROUND(TblProd[[#This Row],[Raw Food/hr]]*(1+TblProd[[#This Row],[Bonus Food/hr]])-TblProd[[#This Row],[Food decay]]-TblProd[[#This Row],[Food eaten]],0)</f>
        <v>2086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1179.9000000000001</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302.02</v>
      </c>
      <c r="AP11" s="94">
        <f ca="1">(1+race_food_consumption)*TblPop[[#This Row],[Total]]*food_per_person*(1+tech_1_10*TblTech[[#This Row],[1-10]]+tech_7_5*TblTech[[#This Row],[7-5]] + IF(TblMagic[[#This Row],[Active Demonic Pact]]&gt;0,demonic_pact_food_cons,0))</f>
        <v>192.25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153"/>
      <c r="BB11" s="45">
        <f>TblProd[[#This Row],[Hour]]</f>
        <v>8</v>
      </c>
      <c r="BC11" s="158">
        <f>-TblProd[[#This Row],[Bank Lumber]] / 2 + -TblProd[[#This Row],[Bank Gems]] * 2 + -TblProd[[#This Row],[Bank Ore]] / 2</f>
        <v>0</v>
      </c>
      <c r="BD11" s="158"/>
      <c r="BE11" s="158"/>
      <c r="BF11" s="158"/>
      <c r="BG11" s="159">
        <f ca="1">TblProd[[#This Row],[Time]]</f>
        <v>45815.29166666665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128585</v>
      </c>
      <c r="BJ11" s="94">
        <f ca="1">TblProd[[#This Row],[Food]]</f>
        <v>30202</v>
      </c>
      <c r="BK11" s="94">
        <f ca="1">TblProd[[#This Row],[Lumber]]</f>
        <v>20775</v>
      </c>
      <c r="BL11" s="94">
        <f ca="1">TblProd[[#This Row],[Mana]]</f>
        <v>0</v>
      </c>
      <c r="BM11" s="94">
        <f ca="1">TblProd[[#This Row],[Ore]]</f>
        <v>0</v>
      </c>
    </row>
    <row r="12" spans="1:65" x14ac:dyDescent="0.2">
      <c r="A12" s="137">
        <v>9</v>
      </c>
      <c r="B12" s="152">
        <f ca="1">TblImps[[#This Row],[Time]]</f>
        <v>45815.333333333314</v>
      </c>
      <c r="C12" s="153"/>
      <c r="D12" s="154"/>
      <c r="E12" s="94">
        <f ca="1">TblConstr[[#This Row],[Land]]</f>
        <v>50</v>
      </c>
      <c r="F12" s="94">
        <f ca="1">TblPop[[#This Row],[Peasants]]</f>
        <v>433</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129764</v>
      </c>
      <c r="I12" s="94">
        <f ca="1">OFFSET(TblProd[[#This Row],[Food]],-1,0)+OFFSET(TblProd[[#This Row],[Food/hr]],-1,0)+ROUNDUP((TblConstr[[#This Row],[Farms]]*80+TblConstr[[#This Row],[Docks]]*35)*(1+OFFSET(TblProd[[#This Row],[Bonus Food/hr]],-1,0)),0)</f>
        <v>32288</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MAX(3750,_xlfn.CEILING.MATH(TblProd[[#This Row],[Land]]*2.5+OFFSET(TblTech[[#This Row],[Sum of tech]],-1,0)*150))</f>
        <v>3750</v>
      </c>
      <c r="R12" s="142"/>
      <c r="S12" s="94">
        <f ca="1">ROUNDDOWN(TblProd[[#This Row],[Raw Plat/hr]]*(1+TblProd[[#This Row],[Bonus Plat/hr]]),0)</f>
        <v>1169</v>
      </c>
      <c r="T12" s="94">
        <f ca="1">ROUND(TblProd[[#This Row],[Raw Food/hr]]*(1+TblProd[[#This Row],[Bonus Food/hr]])-TblProd[[#This Row],[Food decay]]-TblProd[[#This Row],[Food eaten]],0)</f>
        <v>2065</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1169.1000000000001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322.88</v>
      </c>
      <c r="AP12" s="94">
        <f ca="1">(1+race_food_consumption)*TblPop[[#This Row],[Total]]*food_per_person*(1+tech_1_10*TblTech[[#This Row],[1-10]]+tech_7_5*TblTech[[#This Row],[7-5]] + IF(TblMagic[[#This Row],[Active Demonic Pact]]&gt;0,demonic_pact_food_cons,0))</f>
        <v>192.25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153"/>
      <c r="BB12" s="45">
        <f>TblProd[[#This Row],[Hour]]</f>
        <v>9</v>
      </c>
      <c r="BC12" s="158">
        <f>-TblProd[[#This Row],[Bank Lumber]] / 2 + -TblProd[[#This Row],[Bank Gems]] * 2 + -TblProd[[#This Row],[Bank Ore]] / 2</f>
        <v>0</v>
      </c>
      <c r="BD12" s="158"/>
      <c r="BE12" s="158"/>
      <c r="BF12" s="158"/>
      <c r="BG12" s="159">
        <f ca="1">TblProd[[#This Row],[Time]]</f>
        <v>45815.333333333314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129764</v>
      </c>
      <c r="BJ12" s="94">
        <f ca="1">TblProd[[#This Row],[Food]]</f>
        <v>32288</v>
      </c>
      <c r="BK12" s="94">
        <f ca="1">TblProd[[#This Row],[Lumber]]</f>
        <v>21567</v>
      </c>
      <c r="BL12" s="94">
        <f ca="1">TblProd[[#This Row],[Mana]]</f>
        <v>0</v>
      </c>
      <c r="BM12" s="94">
        <f ca="1">TblProd[[#This Row],[Ore]]</f>
        <v>0</v>
      </c>
    </row>
    <row r="13" spans="1:65" x14ac:dyDescent="0.2">
      <c r="A13" s="137">
        <v>10</v>
      </c>
      <c r="B13" s="152">
        <f ca="1">TblImps[[#This Row],[Time]]</f>
        <v>45815.374999999978</v>
      </c>
      <c r="C13" s="153"/>
      <c r="D13" s="154"/>
      <c r="E13" s="94">
        <f ca="1">TblConstr[[#This Row],[Land]]</f>
        <v>50</v>
      </c>
      <c r="F13" s="94">
        <f ca="1">TblPop[[#This Row],[Peasants]]</f>
        <v>429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130933</v>
      </c>
      <c r="I13" s="94">
        <f ca="1">OFFSET(TblProd[[#This Row],[Food]],-1,0)+OFFSET(TblProd[[#This Row],[Food/hr]],-1,0)+ROUNDUP((TblConstr[[#This Row],[Farms]]*80+TblConstr[[#This Row],[Docks]]*35)*(1+OFFSET(TblProd[[#This Row],[Bonus Food/hr]],-1,0)),0)</f>
        <v>34353</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MAX(3750,_xlfn.CEILING.MATH(TblProd[[#This Row],[Land]]*2.5+OFFSET(TblTech[[#This Row],[Sum of tech]],-1,0)*150))</f>
        <v>3750</v>
      </c>
      <c r="R13" s="142"/>
      <c r="S13" s="94">
        <f ca="1">ROUNDDOWN(TblProd[[#This Row],[Raw Plat/hr]]*(1+TblProd[[#This Row],[Bonus Plat/hr]]),0)</f>
        <v>1158</v>
      </c>
      <c r="T13" s="94">
        <f ca="1">ROUND(TblProd[[#This Row],[Raw Food/hr]]*(1+TblProd[[#This Row],[Bonus Food/hr]])-TblProd[[#This Row],[Food decay]]-TblProd[[#This Row],[Food eaten]],0)</f>
        <v>2044</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1158.3000000000002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343.53000000000003</v>
      </c>
      <c r="AP13" s="94">
        <f ca="1">(1+race_food_consumption)*TblPop[[#This Row],[Total]]*food_per_person*(1+tech_1_10*TblTech[[#This Row],[1-10]]+tech_7_5*TblTech[[#This Row],[7-5]] + IF(TblMagic[[#This Row],[Active Demonic Pact]]&gt;0,demonic_pact_food_cons,0))</f>
        <v>192.25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153"/>
      <c r="BB13" s="45">
        <f>TblProd[[#This Row],[Hour]]</f>
        <v>10</v>
      </c>
      <c r="BC13" s="158">
        <f>-TblProd[[#This Row],[Bank Lumber]] / 2 + -TblProd[[#This Row],[Bank Gems]] * 2 + -TblProd[[#This Row],[Bank Ore]] / 2</f>
        <v>0</v>
      </c>
      <c r="BD13" s="158"/>
      <c r="BE13" s="158"/>
      <c r="BF13" s="158"/>
      <c r="BG13" s="159">
        <f ca="1">TblProd[[#This Row],[Time]]</f>
        <v>45815.374999999978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130933</v>
      </c>
      <c r="BJ13" s="94">
        <f ca="1">TblProd[[#This Row],[Food]]</f>
        <v>34353</v>
      </c>
      <c r="BK13" s="94">
        <f ca="1">TblProd[[#This Row],[Lumber]]</f>
        <v>22351</v>
      </c>
      <c r="BL13" s="94">
        <f ca="1">TblProd[[#This Row],[Mana]]</f>
        <v>0</v>
      </c>
      <c r="BM13" s="94">
        <f ca="1">TblProd[[#This Row],[Ore]]</f>
        <v>0</v>
      </c>
    </row>
    <row r="14" spans="1:65" x14ac:dyDescent="0.2">
      <c r="A14" s="137">
        <v>11</v>
      </c>
      <c r="B14" s="152">
        <f ca="1">TblImps[[#This Row],[Time]]</f>
        <v>45815.416666666642</v>
      </c>
      <c r="C14" s="153"/>
      <c r="D14" s="154"/>
      <c r="E14" s="94">
        <f ca="1">TblConstr[[#This Row],[Land]]</f>
        <v>50</v>
      </c>
      <c r="F14" s="94">
        <f ca="1">TblPop[[#This Row],[Peasants]]</f>
        <v>425</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132091</v>
      </c>
      <c r="I14" s="94">
        <f ca="1">OFFSET(TblProd[[#This Row],[Food]],-1,0)+OFFSET(TblProd[[#This Row],[Food/hr]],-1,0)+ROUNDUP((TblConstr[[#This Row],[Farms]]*80+TblConstr[[#This Row],[Docks]]*35)*(1+OFFSET(TblProd[[#This Row],[Bonus Food/hr]],-1,0)),0)</f>
        <v>36397</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MAX(3750,_xlfn.CEILING.MATH(TblProd[[#This Row],[Land]]*2.5+OFFSET(TblTech[[#This Row],[Sum of tech]],-1,0)*150))</f>
        <v>3750</v>
      </c>
      <c r="R14" s="142"/>
      <c r="S14" s="94">
        <f ca="1">ROUNDDOWN(TblProd[[#This Row],[Raw Plat/hr]]*(1+TblProd[[#This Row],[Bonus Plat/hr]]),0)</f>
        <v>1147</v>
      </c>
      <c r="T14" s="94">
        <f ca="1">ROUND(TblProd[[#This Row],[Raw Food/hr]]*(1+TblProd[[#This Row],[Bonus Food/hr]])-TblProd[[#This Row],[Food decay]]-TblProd[[#This Row],[Food eaten]],0)</f>
        <v>2024</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1147.5</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363.97</v>
      </c>
      <c r="AP14" s="94">
        <f ca="1">(1+race_food_consumption)*TblPop[[#This Row],[Total]]*food_per_person*(1+tech_1_10*TblTech[[#This Row],[1-10]]+tech_7_5*TblTech[[#This Row],[7-5]] + IF(TblMagic[[#This Row],[Active Demonic Pact]]&gt;0,demonic_pact_food_cons,0))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153"/>
      <c r="BB14" s="45">
        <f>TblProd[[#This Row],[Hour]]</f>
        <v>11</v>
      </c>
      <c r="BC14" s="158">
        <f>-TblProd[[#This Row],[Bank Lumber]] / 2 + -TblProd[[#This Row],[Bank Gems]] * 2 + -TblProd[[#This Row],[Bank Ore]] / 2</f>
        <v>0</v>
      </c>
      <c r="BD14" s="158"/>
      <c r="BE14" s="158"/>
      <c r="BF14" s="158"/>
      <c r="BG14" s="159">
        <f ca="1">TblProd[[#This Row],[Time]]</f>
        <v>45815.416666666642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132091</v>
      </c>
      <c r="BJ14" s="94">
        <f ca="1">TblProd[[#This Row],[Food]]</f>
        <v>36397</v>
      </c>
      <c r="BK14" s="94">
        <f ca="1">TblProd[[#This Row],[Lumber]]</f>
        <v>23127</v>
      </c>
      <c r="BL14" s="94">
        <f ca="1">TblProd[[#This Row],[Mana]]</f>
        <v>0</v>
      </c>
      <c r="BM14" s="94">
        <f ca="1">TblProd[[#This Row],[Ore]]</f>
        <v>0</v>
      </c>
    </row>
    <row r="15" spans="1:65" x14ac:dyDescent="0.2">
      <c r="A15" s="137">
        <v>12</v>
      </c>
      <c r="B15" s="152">
        <f ca="1">TblImps[[#This Row],[Time]]</f>
        <v>45815.458333333307</v>
      </c>
      <c r="C15" s="153"/>
      <c r="D15" s="154"/>
      <c r="E15" s="94">
        <f ca="1">TblConstr[[#This Row],[Land]]</f>
        <v>50</v>
      </c>
      <c r="F15" s="94">
        <f ca="1">TblPop[[#This Row],[Peasants]]</f>
        <v>421</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133238</v>
      </c>
      <c r="I15" s="94">
        <f ca="1">OFFSET(TblProd[[#This Row],[Food]],-1,0)+OFFSET(TblProd[[#This Row],[Food/hr]],-1,0)+ROUNDUP((TblConstr[[#This Row],[Farms]]*80+TblConstr[[#This Row],[Docks]]*35)*(1+OFFSET(TblProd[[#This Row],[Bonus Food/hr]],-1,0)),0)</f>
        <v>38421</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MAX(3750,_xlfn.CEILING.MATH(TblProd[[#This Row],[Land]]*2.5+OFFSET(TblTech[[#This Row],[Sum of tech]],-1,0)*150))</f>
        <v>3750</v>
      </c>
      <c r="R15" s="142"/>
      <c r="S15" s="94">
        <f ca="1">ROUNDDOWN(TblProd[[#This Row],[Raw Plat/hr]]*(1+TblProd[[#This Row],[Bonus Plat/hr]]),0)</f>
        <v>1136</v>
      </c>
      <c r="T15" s="94">
        <f ca="1">ROUND(TblProd[[#This Row],[Raw Food/hr]]*(1+TblProd[[#This Row],[Bonus Food/hr]])-TblProd[[#This Row],[Food decay]]-TblProd[[#This Row],[Food eaten]],0)</f>
        <v>2004</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1136.7</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384.21000000000004</v>
      </c>
      <c r="AP15" s="94">
        <f ca="1">(1+race_food_consumption)*TblPop[[#This Row],[Total]]*food_per_person*(1+tech_1_10*TblTech[[#This Row],[1-10]]+tech_7_5*TblTech[[#This Row],[7-5]] + IF(TblMagic[[#This Row],[Active Demonic Pact]]&gt;0,demonic_pact_food_cons,0))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153"/>
      <c r="BB15" s="45">
        <f>TblProd[[#This Row],[Hour]]</f>
        <v>12</v>
      </c>
      <c r="BC15" s="158">
        <f>-TblProd[[#This Row],[Bank Lumber]] / 2 + -TblProd[[#This Row],[Bank Gems]] * 2 + -TblProd[[#This Row],[Bank Ore]] / 2</f>
        <v>0</v>
      </c>
      <c r="BD15" s="158"/>
      <c r="BE15" s="158"/>
      <c r="BF15" s="158"/>
      <c r="BG15" s="159">
        <f ca="1">TblProd[[#This Row],[Time]]</f>
        <v>45815.458333333307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133238</v>
      </c>
      <c r="BJ15" s="94">
        <f ca="1">TblProd[[#This Row],[Food]]</f>
        <v>38421</v>
      </c>
      <c r="BK15" s="94">
        <f ca="1">TblProd[[#This Row],[Lumber]]</f>
        <v>23896</v>
      </c>
      <c r="BL15" s="94">
        <f ca="1">TblProd[[#This Row],[Mana]]</f>
        <v>0</v>
      </c>
      <c r="BM15" s="94">
        <f ca="1">TblProd[[#This Row],[Ore]]</f>
        <v>0</v>
      </c>
    </row>
    <row r="16" spans="1:65" x14ac:dyDescent="0.2">
      <c r="A16" s="137">
        <v>13</v>
      </c>
      <c r="B16" s="152">
        <f ca="1">TblImps[[#This Row],[Time]]</f>
        <v>45815.499999999971</v>
      </c>
      <c r="C16" s="153"/>
      <c r="D16" s="154"/>
      <c r="E16" s="94">
        <f ca="1">TblConstr[[#This Row],[Land]]</f>
        <v>50</v>
      </c>
      <c r="F16" s="94">
        <f ca="1">TblPop[[#This Row],[Peasants]]</f>
        <v>417</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134374</v>
      </c>
      <c r="I16" s="94">
        <f ca="1">OFFSET(TblProd[[#This Row],[Food]],-1,0)+OFFSET(TblProd[[#This Row],[Food/hr]],-1,0)+ROUNDUP((TblConstr[[#This Row],[Farms]]*80+TblConstr[[#This Row],[Docks]]*35)*(1+OFFSET(TblProd[[#This Row],[Bonus Food/hr]],-1,0)),0)</f>
        <v>40425</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MAX(3750,_xlfn.CEILING.MATH(TblProd[[#This Row],[Land]]*2.5+OFFSET(TblTech[[#This Row],[Sum of tech]],-1,0)*150))</f>
        <v>3750</v>
      </c>
      <c r="R16" s="142"/>
      <c r="S16" s="94">
        <f ca="1">ROUNDDOWN(TblProd[[#This Row],[Raw Plat/hr]]*(1+TblProd[[#This Row],[Bonus Plat/hr]]),0)</f>
        <v>1125</v>
      </c>
      <c r="T16" s="94">
        <f ca="1">ROUND(TblProd[[#This Row],[Raw Food/hr]]*(1+TblProd[[#This Row],[Bonus Food/hr]])-TblProd[[#This Row],[Food decay]]-TblProd[[#This Row],[Food eaten]],0)</f>
        <v>1984</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1125.9000000000001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404.25</v>
      </c>
      <c r="AP16" s="94">
        <f ca="1">(1+race_food_consumption)*TblPop[[#This Row],[Total]]*food_per_person*(1+tech_1_10*TblTech[[#This Row],[1-10]]+tech_7_5*TblTech[[#This Row],[7-5]] + IF(TblMagic[[#This Row],[Active Demonic Pact]]&gt;0,demonic_pact_food_cons,0))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45815.499999999971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134374</v>
      </c>
      <c r="BJ16" s="94">
        <f ca="1">TblProd[[#This Row],[Food]]</f>
        <v>40425</v>
      </c>
      <c r="BK16" s="94">
        <f ca="1">TblProd[[#This Row],[Lumber]]</f>
        <v>24657</v>
      </c>
      <c r="BL16" s="94">
        <f ca="1">TblProd[[#This Row],[Mana]]</f>
        <v>0</v>
      </c>
      <c r="BM16" s="94">
        <f ca="1">TblProd[[#This Row],[Ore]]</f>
        <v>0</v>
      </c>
    </row>
    <row r="17" spans="1:65" x14ac:dyDescent="0.2">
      <c r="A17" s="137">
        <v>14</v>
      </c>
      <c r="B17" s="152">
        <f ca="1">TblImps[[#This Row],[Time]]</f>
        <v>45815.541666666635</v>
      </c>
      <c r="C17" s="153"/>
      <c r="D17" s="154"/>
      <c r="E17" s="94">
        <f ca="1">TblConstr[[#This Row],[Land]]</f>
        <v>50</v>
      </c>
      <c r="F17" s="94">
        <f ca="1">TblPop[[#This Row],[Peasants]]</f>
        <v>413</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135499</v>
      </c>
      <c r="I17" s="94">
        <f ca="1">OFFSET(TblProd[[#This Row],[Food]],-1,0)+OFFSET(TblProd[[#This Row],[Food/hr]],-1,0)+ROUNDUP((TblConstr[[#This Row],[Farms]]*80+TblConstr[[#This Row],[Docks]]*35)*(1+OFFSET(TblProd[[#This Row],[Bonus Food/hr]],-1,0)),0)</f>
        <v>42409</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MAX(3750,_xlfn.CEILING.MATH(TblProd[[#This Row],[Land]]*2.5+OFFSET(TblTech[[#This Row],[Sum of tech]],-1,0)*150))</f>
        <v>3750</v>
      </c>
      <c r="R17" s="142"/>
      <c r="S17" s="94">
        <f ca="1">ROUNDDOWN(TblProd[[#This Row],[Raw Plat/hr]]*(1+TblProd[[#This Row],[Bonus Plat/hr]]),0)</f>
        <v>1115</v>
      </c>
      <c r="T17" s="94">
        <f ca="1">ROUND(TblProd[[#This Row],[Raw Food/hr]]*(1+TblProd[[#This Row],[Bonus Food/hr]])-TblProd[[#This Row],[Food decay]]-TblProd[[#This Row],[Food eaten]],0)</f>
        <v>1964</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1115.1000000000001</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424.09000000000003</v>
      </c>
      <c r="AP17" s="94">
        <f ca="1">(1+race_food_consumption)*TblPop[[#This Row],[Total]]*food_per_person*(1+tech_1_10*TblTech[[#This Row],[1-10]]+tech_7_5*TblTech[[#This Row],[7-5]] + IF(TblMagic[[#This Row],[Active Demonic Pact]]&gt;0,demonic_pact_food_cons,0))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153"/>
      <c r="BB17" s="45">
        <f>TblProd[[#This Row],[Hour]]</f>
        <v>14</v>
      </c>
      <c r="BC17" s="158">
        <f>-TblProd[[#This Row],[Bank Lumber]] / 2 + -TblProd[[#This Row],[Bank Gems]] * 2 + -TblProd[[#This Row],[Bank Ore]] / 2</f>
        <v>0</v>
      </c>
      <c r="BD17" s="158"/>
      <c r="BE17" s="158"/>
      <c r="BF17" s="158"/>
      <c r="BG17" s="159">
        <f ca="1">TblProd[[#This Row],[Time]]</f>
        <v>45815.541666666635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135499</v>
      </c>
      <c r="BJ17" s="94">
        <f ca="1">TblProd[[#This Row],[Food]]</f>
        <v>42409</v>
      </c>
      <c r="BK17" s="94">
        <f ca="1">TblProd[[#This Row],[Lumber]]</f>
        <v>25410</v>
      </c>
      <c r="BL17" s="94">
        <f ca="1">TblProd[[#This Row],[Mana]]</f>
        <v>0</v>
      </c>
      <c r="BM17" s="94">
        <f ca="1">TblProd[[#This Row],[Ore]]</f>
        <v>0</v>
      </c>
    </row>
    <row r="18" spans="1:65" x14ac:dyDescent="0.2">
      <c r="A18" s="137">
        <v>15</v>
      </c>
      <c r="B18" s="152">
        <f ca="1">TblImps[[#This Row],[Time]]</f>
        <v>45815.583333333299</v>
      </c>
      <c r="C18" s="153"/>
      <c r="D18" s="154"/>
      <c r="E18" s="94">
        <f ca="1">TblConstr[[#This Row],[Land]]</f>
        <v>50</v>
      </c>
      <c r="F18" s="94">
        <f ca="1">TblPop[[#This Row],[Peasants]]</f>
        <v>409</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136614</v>
      </c>
      <c r="I18" s="94">
        <f ca="1">OFFSET(TblProd[[#This Row],[Food]],-1,0)+OFFSET(TblProd[[#This Row],[Food/hr]],-1,0)+ROUNDUP((TblConstr[[#This Row],[Farms]]*80+TblConstr[[#This Row],[Docks]]*35)*(1+OFFSET(TblProd[[#This Row],[Bonus Food/hr]],-1,0)),0)</f>
        <v>44373</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MAX(3750,_xlfn.CEILING.MATH(TblProd[[#This Row],[Land]]*2.5+OFFSET(TblTech[[#This Row],[Sum of tech]],-1,0)*150))</f>
        <v>3750</v>
      </c>
      <c r="R18" s="142"/>
      <c r="S18" s="94">
        <f ca="1">ROUNDDOWN(TblProd[[#This Row],[Raw Plat/hr]]*(1+TblProd[[#This Row],[Bonus Plat/hr]]),0)</f>
        <v>1104</v>
      </c>
      <c r="T18" s="94">
        <f ca="1">ROUND(TblProd[[#This Row],[Raw Food/hr]]*(1+TblProd[[#This Row],[Bonus Food/hr]])-TblProd[[#This Row],[Food decay]]-TblProd[[#This Row],[Food eaten]],0)</f>
        <v>1944</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1104.3000000000002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443.73</v>
      </c>
      <c r="AP18" s="94">
        <f ca="1">(1+race_food_consumption)*TblPop[[#This Row],[Total]]*food_per_person*(1+tech_1_10*TblTech[[#This Row],[1-10]]+tech_7_5*TblTech[[#This Row],[7-5]] + IF(TblMagic[[#This Row],[Active Demonic Pact]]&gt;0,demonic_pact_food_cons,0))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153"/>
      <c r="BB18" s="45">
        <f>TblProd[[#This Row],[Hour]]</f>
        <v>15</v>
      </c>
      <c r="BC18" s="158">
        <f>-TblProd[[#This Row],[Bank Lumber]] / 2 + -TblProd[[#This Row],[Bank Gems]] * 2 + -TblProd[[#This Row],[Bank Ore]] / 2</f>
        <v>0</v>
      </c>
      <c r="BD18" s="158"/>
      <c r="BE18" s="158"/>
      <c r="BF18" s="158"/>
      <c r="BG18" s="159">
        <f ca="1">TblProd[[#This Row],[Time]]</f>
        <v>45815.583333333299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136614</v>
      </c>
      <c r="BJ18" s="94">
        <f ca="1">TblProd[[#This Row],[Food]]</f>
        <v>44373</v>
      </c>
      <c r="BK18" s="94">
        <f ca="1">TblProd[[#This Row],[Lumber]]</f>
        <v>26156</v>
      </c>
      <c r="BL18" s="94">
        <f ca="1">TblProd[[#This Row],[Mana]]</f>
        <v>0</v>
      </c>
      <c r="BM18" s="94">
        <f ca="1">TblProd[[#This Row],[Ore]]</f>
        <v>0</v>
      </c>
    </row>
    <row r="19" spans="1:65" x14ac:dyDescent="0.2">
      <c r="A19" s="137">
        <v>16</v>
      </c>
      <c r="B19" s="152">
        <f ca="1">TblImps[[#This Row],[Time]]</f>
        <v>45815.624999999964</v>
      </c>
      <c r="C19" s="153"/>
      <c r="D19" s="154"/>
      <c r="E19" s="94">
        <f ca="1">TblConstr[[#This Row],[Land]]</f>
        <v>50</v>
      </c>
      <c r="F19" s="94">
        <f ca="1">TblPop[[#This Row],[Peasants]]</f>
        <v>405</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137718</v>
      </c>
      <c r="I19" s="94">
        <f ca="1">OFFSET(TblProd[[#This Row],[Food]],-1,0)+OFFSET(TblProd[[#This Row],[Food/hr]],-1,0)+ROUNDUP((TblConstr[[#This Row],[Farms]]*80+TblConstr[[#This Row],[Docks]]*35)*(1+OFFSET(TblProd[[#This Row],[Bonus Food/hr]],-1,0)),0)</f>
        <v>46317</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MAX(3750,_xlfn.CEILING.MATH(TblProd[[#This Row],[Land]]*2.5+OFFSET(TblTech[[#This Row],[Sum of tech]],-1,0)*150))</f>
        <v>3750</v>
      </c>
      <c r="R19" s="142"/>
      <c r="S19" s="94">
        <f ca="1">ROUNDDOWN(TblProd[[#This Row],[Raw Plat/hr]]*(1+TblProd[[#This Row],[Bonus Plat/hr]]),0)</f>
        <v>1093</v>
      </c>
      <c r="T19" s="94">
        <f ca="1">ROUND(TblProd[[#This Row],[Raw Food/hr]]*(1+TblProd[[#This Row],[Bonus Food/hr]])-TblProd[[#This Row],[Food decay]]-TblProd[[#This Row],[Food eaten]],0)</f>
        <v>1925</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1093.5</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463.17</v>
      </c>
      <c r="AP19" s="94">
        <f ca="1">(1+race_food_consumption)*TblPop[[#This Row],[Total]]*food_per_person*(1+tech_1_10*TblTech[[#This Row],[1-10]]+tech_7_5*TblTech[[#This Row],[7-5]] + IF(TblMagic[[#This Row],[Active Demonic Pact]]&gt;0,demonic_pact_food_cons,0))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153"/>
      <c r="BB19" s="45">
        <f>TblProd[[#This Row],[Hour]]</f>
        <v>16</v>
      </c>
      <c r="BC19" s="158">
        <f>-TblProd[[#This Row],[Bank Lumber]] / 2 + -TblProd[[#This Row],[Bank Gems]] * 2 + -TblProd[[#This Row],[Bank Ore]] / 2</f>
        <v>0</v>
      </c>
      <c r="BD19" s="158"/>
      <c r="BE19" s="158"/>
      <c r="BF19" s="158"/>
      <c r="BG19" s="159">
        <f ca="1">TblProd[[#This Row],[Time]]</f>
        <v>45815.624999999964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137718</v>
      </c>
      <c r="BJ19" s="94">
        <f ca="1">TblProd[[#This Row],[Food]]</f>
        <v>46317</v>
      </c>
      <c r="BK19" s="94">
        <f ca="1">TblProd[[#This Row],[Lumber]]</f>
        <v>26894</v>
      </c>
      <c r="BL19" s="94">
        <f ca="1">TblProd[[#This Row],[Mana]]</f>
        <v>0</v>
      </c>
      <c r="BM19" s="94">
        <f ca="1">TblProd[[#This Row],[Ore]]</f>
        <v>0</v>
      </c>
    </row>
    <row r="20" spans="1:65" x14ac:dyDescent="0.2">
      <c r="A20" s="137">
        <v>17</v>
      </c>
      <c r="B20" s="152">
        <f ca="1">TblImps[[#This Row],[Time]]</f>
        <v>45815.666666666628</v>
      </c>
      <c r="C20" s="153"/>
      <c r="D20" s="154"/>
      <c r="E20" s="94">
        <f ca="1">TblConstr[[#This Row],[Land]]</f>
        <v>50</v>
      </c>
      <c r="F20" s="94">
        <f ca="1">TblPop[[#This Row],[Peasants]]</f>
        <v>401</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138811</v>
      </c>
      <c r="I20" s="94">
        <f ca="1">OFFSET(TblProd[[#This Row],[Food]],-1,0)+OFFSET(TblProd[[#This Row],[Food/hr]],-1,0)+ROUNDUP((TblConstr[[#This Row],[Farms]]*80+TblConstr[[#This Row],[Docks]]*35)*(1+OFFSET(TblProd[[#This Row],[Bonus Food/hr]],-1,0)),0)</f>
        <v>48242</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MAX(3750,_xlfn.CEILING.MATH(TblProd[[#This Row],[Land]]*2.5+OFFSET(TblTech[[#This Row],[Sum of tech]],-1,0)*150))</f>
        <v>3750</v>
      </c>
      <c r="R20" s="142"/>
      <c r="S20" s="94">
        <f ca="1">ROUNDDOWN(TblProd[[#This Row],[Raw Plat/hr]]*(1+TblProd[[#This Row],[Bonus Plat/hr]]),0)</f>
        <v>1082</v>
      </c>
      <c r="T20" s="94">
        <f ca="1">ROUND(TblProd[[#This Row],[Raw Food/hr]]*(1+TblProd[[#This Row],[Bonus Food/hr]])-TblProd[[#This Row],[Food decay]]-TblProd[[#This Row],[Food eaten]],0)</f>
        <v>1905</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1082.7</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482.42</v>
      </c>
      <c r="AP20" s="94">
        <f ca="1">(1+race_food_consumption)*TblPop[[#This Row],[Total]]*food_per_person*(1+tech_1_10*TblTech[[#This Row],[1-10]]+tech_7_5*TblTech[[#This Row],[7-5]] + IF(TblMagic[[#This Row],[Active Demonic Pact]]&gt;0,demonic_pact_food_cons,0))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153"/>
      <c r="BB20" s="45">
        <f>TblProd[[#This Row],[Hour]]</f>
        <v>17</v>
      </c>
      <c r="BC20" s="158">
        <f>-TblProd[[#This Row],[Bank Lumber]] / 2 + -TblProd[[#This Row],[Bank Gems]] * 2 + -TblProd[[#This Row],[Bank Ore]] / 2</f>
        <v>0</v>
      </c>
      <c r="BD20" s="158"/>
      <c r="BE20" s="158"/>
      <c r="BF20" s="158"/>
      <c r="BG20" s="159">
        <f ca="1">TblProd[[#This Row],[Time]]</f>
        <v>45815.666666666628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138811</v>
      </c>
      <c r="BJ20" s="94">
        <f ca="1">TblProd[[#This Row],[Food]]</f>
        <v>48242</v>
      </c>
      <c r="BK20" s="94">
        <f ca="1">TblProd[[#This Row],[Lumber]]</f>
        <v>27625</v>
      </c>
      <c r="BL20" s="94">
        <f ca="1">TblProd[[#This Row],[Mana]]</f>
        <v>0</v>
      </c>
      <c r="BM20" s="94">
        <f ca="1">TblProd[[#This Row],[Ore]]</f>
        <v>0</v>
      </c>
    </row>
    <row r="21" spans="1:65" x14ac:dyDescent="0.2">
      <c r="A21" s="137">
        <v>18</v>
      </c>
      <c r="B21" s="152">
        <f ca="1">TblImps[[#This Row],[Time]]</f>
        <v>45815.708333333292</v>
      </c>
      <c r="C21" s="153"/>
      <c r="D21" s="154"/>
      <c r="E21" s="94">
        <f ca="1">TblConstr[[#This Row],[Land]]</f>
        <v>50</v>
      </c>
      <c r="F21" s="94">
        <f ca="1">TblPop[[#This Row],[Peasants]]</f>
        <v>397</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139893</v>
      </c>
      <c r="I21" s="94">
        <f ca="1">OFFSET(TblProd[[#This Row],[Food]],-1,0)+OFFSET(TblProd[[#This Row],[Food/hr]],-1,0)+ROUNDUP((TblConstr[[#This Row],[Farms]]*80+TblConstr[[#This Row],[Docks]]*35)*(1+OFFSET(TblProd[[#This Row],[Bonus Food/hr]],-1,0)),0)</f>
        <v>50147</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MAX(3750,_xlfn.CEILING.MATH(TblProd[[#This Row],[Land]]*2.5+OFFSET(TblTech[[#This Row],[Sum of tech]],-1,0)*150))</f>
        <v>3750</v>
      </c>
      <c r="R21" s="142"/>
      <c r="S21" s="94">
        <f ca="1">ROUNDDOWN(TblProd[[#This Row],[Raw Plat/hr]]*(1+TblProd[[#This Row],[Bonus Plat/hr]]),0)</f>
        <v>1071</v>
      </c>
      <c r="T21" s="94">
        <f ca="1">ROUND(TblProd[[#This Row],[Raw Food/hr]]*(1+TblProd[[#This Row],[Bonus Food/hr]])-TblProd[[#This Row],[Food decay]]-TblProd[[#This Row],[Food eaten]],0)</f>
        <v>1886</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1071.9000000000001</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501.47</v>
      </c>
      <c r="AP21" s="94">
        <f ca="1">(1+race_food_consumption)*TblPop[[#This Row],[Total]]*food_per_person*(1+tech_1_10*TblTech[[#This Row],[1-10]]+tech_7_5*TblTech[[#This Row],[7-5]] + IF(TblMagic[[#This Row],[Active Demonic Pact]]&gt;0,demonic_pact_food_cons,0))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153"/>
      <c r="BB21" s="45">
        <f>TblProd[[#This Row],[Hour]]</f>
        <v>18</v>
      </c>
      <c r="BC21" s="158">
        <f>-TblProd[[#This Row],[Bank Lumber]] / 2 + -TblProd[[#This Row],[Bank Gems]] * 2 + -TblProd[[#This Row],[Bank Ore]] / 2</f>
        <v>0</v>
      </c>
      <c r="BD21" s="158"/>
      <c r="BE21" s="158"/>
      <c r="BF21" s="158"/>
      <c r="BG21" s="159">
        <f ca="1">TblProd[[#This Row],[Time]]</f>
        <v>45815.708333333292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139893</v>
      </c>
      <c r="BJ21" s="94">
        <f ca="1">TblProd[[#This Row],[Food]]</f>
        <v>50147</v>
      </c>
      <c r="BK21" s="94">
        <f ca="1">TblProd[[#This Row],[Lumber]]</f>
        <v>28349</v>
      </c>
      <c r="BL21" s="94">
        <f ca="1">TblProd[[#This Row],[Mana]]</f>
        <v>0</v>
      </c>
      <c r="BM21" s="94">
        <f ca="1">TblProd[[#This Row],[Ore]]</f>
        <v>0</v>
      </c>
    </row>
    <row r="22" spans="1:65" x14ac:dyDescent="0.2">
      <c r="A22" s="137">
        <v>19</v>
      </c>
      <c r="B22" s="152">
        <f ca="1">TblImps[[#This Row],[Time]]</f>
        <v>45815.749999999956</v>
      </c>
      <c r="C22" s="153"/>
      <c r="D22" s="154"/>
      <c r="E22" s="94">
        <f ca="1">TblConstr[[#This Row],[Land]]</f>
        <v>50</v>
      </c>
      <c r="F22" s="94">
        <f ca="1">TblPop[[#This Row],[Peasants]]</f>
        <v>393</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140964</v>
      </c>
      <c r="I22" s="94">
        <f ca="1">OFFSET(TblProd[[#This Row],[Food]],-1,0)+OFFSET(TblProd[[#This Row],[Food/hr]],-1,0)+ROUNDUP((TblConstr[[#This Row],[Farms]]*80+TblConstr[[#This Row],[Docks]]*35)*(1+OFFSET(TblProd[[#This Row],[Bonus Food/hr]],-1,0)),0)</f>
        <v>52033</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MAX(3750,_xlfn.CEILING.MATH(TblProd[[#This Row],[Land]]*2.5+OFFSET(TblTech[[#This Row],[Sum of tech]],-1,0)*150))</f>
        <v>3750</v>
      </c>
      <c r="R22" s="142"/>
      <c r="S22" s="94">
        <f ca="1">ROUNDDOWN(TblProd[[#This Row],[Raw Plat/hr]]*(1+TblProd[[#This Row],[Bonus Plat/hr]]),0)</f>
        <v>1061</v>
      </c>
      <c r="T22" s="94">
        <f ca="1">ROUND(TblProd[[#This Row],[Raw Food/hr]]*(1+TblProd[[#This Row],[Bonus Food/hr]])-TblProd[[#This Row],[Food decay]]-TblProd[[#This Row],[Food eaten]],0)</f>
        <v>1867</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1061.1000000000001</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520.33000000000004</v>
      </c>
      <c r="AP22" s="94">
        <f ca="1">(1+race_food_consumption)*TblPop[[#This Row],[Total]]*food_per_person*(1+tech_1_10*TblTech[[#This Row],[1-10]]+tech_7_5*TblTech[[#This Row],[7-5]] + IF(TblMagic[[#This Row],[Active Demonic Pact]]&gt;0,demonic_pact_food_cons,0))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153"/>
      <c r="BB22" s="45">
        <f>TblProd[[#This Row],[Hour]]</f>
        <v>19</v>
      </c>
      <c r="BC22" s="158">
        <f>-TblProd[[#This Row],[Bank Lumber]] / 2 + -TblProd[[#This Row],[Bank Gems]] * 2 + -TblProd[[#This Row],[Bank Ore]] / 2</f>
        <v>0</v>
      </c>
      <c r="BD22" s="158"/>
      <c r="BE22" s="158"/>
      <c r="BF22" s="158"/>
      <c r="BG22" s="159">
        <f ca="1">TblProd[[#This Row],[Time]]</f>
        <v>45815.749999999956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140964</v>
      </c>
      <c r="BJ22" s="94">
        <f ca="1">TblProd[[#This Row],[Food]]</f>
        <v>52033</v>
      </c>
      <c r="BK22" s="94">
        <f ca="1">TblProd[[#This Row],[Lumber]]</f>
        <v>29066</v>
      </c>
      <c r="BL22" s="94">
        <f ca="1">TblProd[[#This Row],[Mana]]</f>
        <v>0</v>
      </c>
      <c r="BM22" s="94">
        <f ca="1">TblProd[[#This Row],[Ore]]</f>
        <v>0</v>
      </c>
    </row>
    <row r="23" spans="1:65" x14ac:dyDescent="0.2">
      <c r="A23" s="137">
        <v>20</v>
      </c>
      <c r="B23" s="152">
        <f ca="1">TblImps[[#This Row],[Time]]</f>
        <v>45815.791666666621</v>
      </c>
      <c r="C23" s="153"/>
      <c r="D23" s="154"/>
      <c r="E23" s="94">
        <f ca="1">TblConstr[[#This Row],[Land]]</f>
        <v>50</v>
      </c>
      <c r="F23" s="94">
        <f ca="1">TblPop[[#This Row],[Peasants]]</f>
        <v>389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142025</v>
      </c>
      <c r="I23" s="94">
        <f ca="1">OFFSET(TblProd[[#This Row],[Food]],-1,0)+OFFSET(TblProd[[#This Row],[Food/hr]],-1,0)+ROUNDUP((TblConstr[[#This Row],[Farms]]*80+TblConstr[[#This Row],[Docks]]*35)*(1+OFFSET(TblProd[[#This Row],[Bonus Food/hr]],-1,0)),0)</f>
        <v>53900</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MAX(3750,_xlfn.CEILING.MATH(TblProd[[#This Row],[Land]]*2.5+OFFSET(TblTech[[#This Row],[Sum of tech]],-1,0)*150))</f>
        <v>3750</v>
      </c>
      <c r="R23" s="142"/>
      <c r="S23" s="94">
        <f ca="1">ROUNDDOWN(TblProd[[#This Row],[Raw Plat/hr]]*(1+TblProd[[#This Row],[Bonus Plat/hr]]),0)</f>
        <v>1050</v>
      </c>
      <c r="T23" s="94">
        <f ca="1">ROUND(TblProd[[#This Row],[Raw Food/hr]]*(1+TblProd[[#This Row],[Bonus Food/hr]])-TblProd[[#This Row],[Food decay]]-TblProd[[#This Row],[Food eaten]],0)</f>
        <v>1849</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1050.3000000000002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v>
      </c>
      <c r="AP23" s="94">
        <f ca="1">(1+race_food_consumption)*TblPop[[#This Row],[Total]]*food_per_person*(1+tech_1_10*TblTech[[#This Row],[1-10]]+tech_7_5*TblTech[[#This Row],[7-5]] + IF(TblMagic[[#This Row],[Active Demonic Pact]]&gt;0,demonic_pact_food_cons,0))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153"/>
      <c r="BB23" s="45">
        <f>TblProd[[#This Row],[Hour]]</f>
        <v>20</v>
      </c>
      <c r="BC23" s="158">
        <f>-TblProd[[#This Row],[Bank Lumber]] / 2 + -TblProd[[#This Row],[Bank Gems]] * 2 + -TblProd[[#This Row],[Bank Ore]] / 2</f>
        <v>0</v>
      </c>
      <c r="BD23" s="158"/>
      <c r="BE23" s="158"/>
      <c r="BF23" s="158"/>
      <c r="BG23" s="159">
        <f ca="1">TblProd[[#This Row],[Time]]</f>
        <v>45815.791666666621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142025</v>
      </c>
      <c r="BJ23" s="94">
        <f ca="1">TblProd[[#This Row],[Food]]</f>
        <v>53900</v>
      </c>
      <c r="BK23" s="94">
        <f ca="1">TblProd[[#This Row],[Lumber]]</f>
        <v>29775</v>
      </c>
      <c r="BL23" s="94">
        <f ca="1">TblProd[[#This Row],[Mana]]</f>
        <v>0</v>
      </c>
      <c r="BM23" s="94">
        <f ca="1">TblProd[[#This Row],[Ore]]</f>
        <v>0</v>
      </c>
    </row>
    <row r="24" spans="1:65" x14ac:dyDescent="0.2">
      <c r="A24" s="137">
        <v>21</v>
      </c>
      <c r="B24" s="152">
        <f ca="1">TblImps[[#This Row],[Time]]</f>
        <v>45815.833333333285</v>
      </c>
      <c r="C24" s="153"/>
      <c r="D24" s="154"/>
      <c r="E24" s="94">
        <f ca="1">TblConstr[[#This Row],[Land]]</f>
        <v>50</v>
      </c>
      <c r="F24" s="94">
        <f ca="1">TblPop[[#This Row],[Peasants]]</f>
        <v>385</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143075</v>
      </c>
      <c r="I24" s="94">
        <f ca="1">OFFSET(TblProd[[#This Row],[Food]],-1,0)+OFFSET(TblProd[[#This Row],[Food/hr]],-1,0)+ROUNDUP((TblConstr[[#This Row],[Farms]]*80+TblConstr[[#This Row],[Docks]]*35)*(1+OFFSET(TblProd[[#This Row],[Bonus Food/hr]],-1,0)),0)</f>
        <v>55749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MAX(3750,_xlfn.CEILING.MATH(TblProd[[#This Row],[Land]]*2.5+OFFSET(TblTech[[#This Row],[Sum of tech]],-1,0)*150))</f>
        <v>3750</v>
      </c>
      <c r="R24" s="142"/>
      <c r="S24" s="94">
        <f ca="1">ROUNDDOWN(TblProd[[#This Row],[Raw Plat/hr]]*(1+TblProd[[#This Row],[Bonus Plat/hr]]),0)</f>
        <v>1039</v>
      </c>
      <c r="T24" s="94">
        <f ca="1">ROUND(TblProd[[#This Row],[Raw Food/hr]]*(1+TblProd[[#This Row],[Bonus Food/hr]])-TblProd[[#This Row],[Food decay]]-TblProd[[#This Row],[Food eaten]],0)</f>
        <v>1830</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1039.5</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557.49</v>
      </c>
      <c r="AP24" s="94">
        <f ca="1">(1+race_food_consumption)*TblPop[[#This Row],[Total]]*food_per_person*(1+tech_1_10*TblTech[[#This Row],[1-10]]+tech_7_5*TblTech[[#This Row],[7-5]] + IF(TblMagic[[#This Row],[Active Demonic Pact]]&gt;0,demonic_pact_food_cons,0))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153"/>
      <c r="BB24" s="45">
        <f>TblProd[[#This Row],[Hour]]</f>
        <v>21</v>
      </c>
      <c r="BC24" s="158">
        <f>-TblProd[[#This Row],[Bank Lumber]] / 2 + -TblProd[[#This Row],[Bank Gems]] * 2 + -TblProd[[#This Row],[Bank Ore]] / 2</f>
        <v>0</v>
      </c>
      <c r="BD24" s="158"/>
      <c r="BE24" s="158"/>
      <c r="BF24" s="158"/>
      <c r="BG24" s="159">
        <f ca="1">TblProd[[#This Row],[Time]]</f>
        <v>45815.833333333285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143075</v>
      </c>
      <c r="BJ24" s="94">
        <f ca="1">TblProd[[#This Row],[Food]]</f>
        <v>55749</v>
      </c>
      <c r="BK24" s="94">
        <f ca="1">TblProd[[#This Row],[Lumber]]</f>
        <v>30477</v>
      </c>
      <c r="BL24" s="94">
        <f ca="1">TblProd[[#This Row],[Mana]]</f>
        <v>0</v>
      </c>
      <c r="BM24" s="94">
        <f ca="1">TblProd[[#This Row],[Ore]]</f>
        <v>0</v>
      </c>
    </row>
    <row r="25" spans="1:65" x14ac:dyDescent="0.2">
      <c r="A25" s="137">
        <v>22</v>
      </c>
      <c r="B25" s="152">
        <f ca="1">TblImps[[#This Row],[Time]]</f>
        <v>45815.874999999949</v>
      </c>
      <c r="C25" s="153"/>
      <c r="D25" s="154"/>
      <c r="E25" s="94">
        <f ca="1">TblConstr[[#This Row],[Land]]</f>
        <v>50</v>
      </c>
      <c r="F25" s="94">
        <f ca="1">TblPop[[#This Row],[Peasants]]</f>
        <v>381</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144114</v>
      </c>
      <c r="I25" s="94">
        <f ca="1">OFFSET(TblProd[[#This Row],[Food]],-1,0)+OFFSET(TblProd[[#This Row],[Food/hr]],-1,0)+ROUNDUP((TblConstr[[#This Row],[Farms]]*80+TblConstr[[#This Row],[Docks]]*35)*(1+OFFSET(TblProd[[#This Row],[Bonus Food/hr]],-1,0)),0)</f>
        <v>57579</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MAX(3750,_xlfn.CEILING.MATH(TblProd[[#This Row],[Land]]*2.5+OFFSET(TblTech[[#This Row],[Sum of tech]],-1,0)*150))</f>
        <v>3750</v>
      </c>
      <c r="R25" s="142"/>
      <c r="S25" s="94">
        <f ca="1">ROUNDDOWN(TblProd[[#This Row],[Raw Plat/hr]]*(1+TblProd[[#This Row],[Bonus Plat/hr]]),0)</f>
        <v>1028</v>
      </c>
      <c r="T25" s="94">
        <f ca="1">ROUND(TblProd[[#This Row],[Raw Food/hr]]*(1+TblProd[[#This Row],[Bonus Food/hr]])-TblProd[[#This Row],[Food decay]]-TblProd[[#This Row],[Food eaten]],0)</f>
        <v>1812</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1028.7</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575.79</v>
      </c>
      <c r="AP25" s="94">
        <f ca="1">(1+race_food_consumption)*TblPop[[#This Row],[Total]]*food_per_person*(1+tech_1_10*TblTech[[#This Row],[1-10]]+tech_7_5*TblTech[[#This Row],[7-5]] + IF(TblMagic[[#This Row],[Active Demonic Pact]]&gt;0,demonic_pact_food_cons,0))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153"/>
      <c r="BB25" s="45">
        <f>TblProd[[#This Row],[Hour]]</f>
        <v>22</v>
      </c>
      <c r="BC25" s="158">
        <f>-TblProd[[#This Row],[Bank Lumber]] / 2 + -TblProd[[#This Row],[Bank Gems]] * 2 + -TblProd[[#This Row],[Bank Ore]] / 2</f>
        <v>0</v>
      </c>
      <c r="BD25" s="158"/>
      <c r="BE25" s="158"/>
      <c r="BF25" s="158"/>
      <c r="BG25" s="159">
        <f ca="1">TblProd[[#This Row],[Time]]</f>
        <v>45815.874999999949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144114</v>
      </c>
      <c r="BJ25" s="94">
        <f ca="1">TblProd[[#This Row],[Food]]</f>
        <v>57579</v>
      </c>
      <c r="BK25" s="94">
        <f ca="1">TblProd[[#This Row],[Lumber]]</f>
        <v>31172</v>
      </c>
      <c r="BL25" s="94">
        <f ca="1">TblProd[[#This Row],[Mana]]</f>
        <v>0</v>
      </c>
      <c r="BM25" s="94">
        <f ca="1">TblProd[[#This Row],[Ore]]</f>
        <v>0</v>
      </c>
    </row>
    <row r="26" spans="1:65" x14ac:dyDescent="0.2">
      <c r="A26" s="137">
        <v>23</v>
      </c>
      <c r="B26" s="152">
        <f ca="1">TblImps[[#This Row],[Time]]</f>
        <v>45815.916666666613</v>
      </c>
      <c r="C26" s="153"/>
      <c r="D26" s="154"/>
      <c r="E26" s="94">
        <f ca="1">TblConstr[[#This Row],[Land]]</f>
        <v>50</v>
      </c>
      <c r="F26" s="94">
        <f ca="1">TblPop[[#This Row],[Peasants]]</f>
        <v>377</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145142</v>
      </c>
      <c r="I26" s="94">
        <f ca="1">OFFSET(TblProd[[#This Row],[Food]],-1,0)+OFFSET(TblProd[[#This Row],[Food/hr]],-1,0)+ROUNDUP((TblConstr[[#This Row],[Farms]]*80+TblConstr[[#This Row],[Docks]]*35)*(1+OFFSET(TblProd[[#This Row],[Bonus Food/hr]],-1,0)),0)</f>
        <v>59391</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MAX(3750,_xlfn.CEILING.MATH(TblProd[[#This Row],[Land]]*2.5+OFFSET(TblTech[[#This Row],[Sum of tech]],-1,0)*150))</f>
        <v>3750</v>
      </c>
      <c r="R26" s="142"/>
      <c r="S26" s="94">
        <f ca="1">ROUNDDOWN(TblProd[[#This Row],[Raw Plat/hr]]*(1+TblProd[[#This Row],[Bonus Plat/hr]]),0)</f>
        <v>1017</v>
      </c>
      <c r="T26" s="94">
        <f ca="1">ROUND(TblProd[[#This Row],[Raw Food/hr]]*(1+TblProd[[#This Row],[Bonus Food/hr]])-TblProd[[#This Row],[Food decay]]-TblProd[[#This Row],[Food eaten]],0)</f>
        <v>1794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1017.9000000000001</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593.91</v>
      </c>
      <c r="AP26" s="94">
        <f ca="1">(1+race_food_consumption)*TblPop[[#This Row],[Total]]*food_per_person*(1+tech_1_10*TblTech[[#This Row],[1-10]]+tech_7_5*TblTech[[#This Row],[7-5]] + IF(TblMagic[[#This Row],[Active Demonic Pact]]&gt;0,demonic_pact_food_cons,0))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153"/>
      <c r="BB26" s="45">
        <f>TblProd[[#This Row],[Hour]]</f>
        <v>23</v>
      </c>
      <c r="BC26" s="158">
        <f>-TblProd[[#This Row],[Bank Lumber]] / 2 + -TblProd[[#This Row],[Bank Gems]] * 2 + -TblProd[[#This Row],[Bank Ore]] / 2</f>
        <v>0</v>
      </c>
      <c r="BD26" s="158"/>
      <c r="BE26" s="158"/>
      <c r="BF26" s="158"/>
      <c r="BG26" s="159">
        <f ca="1">TblProd[[#This Row],[Time]]</f>
        <v>45815.916666666613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145142</v>
      </c>
      <c r="BJ26" s="94">
        <f ca="1">TblProd[[#This Row],[Food]]</f>
        <v>59391</v>
      </c>
      <c r="BK26" s="94">
        <f ca="1">TblProd[[#This Row],[Lumber]]</f>
        <v>31860</v>
      </c>
      <c r="BL26" s="94">
        <f ca="1">TblProd[[#This Row],[Mana]]</f>
        <v>0</v>
      </c>
      <c r="BM26" s="94">
        <f ca="1">TblProd[[#This Row],[Ore]]</f>
        <v>0</v>
      </c>
    </row>
    <row r="27" spans="1:65" x14ac:dyDescent="0.2">
      <c r="A27" s="137">
        <v>24</v>
      </c>
      <c r="B27" s="152">
        <f ca="1">TblImps[[#This Row],[Time]]</f>
        <v>45815.958333333278</v>
      </c>
      <c r="C27" s="153"/>
      <c r="D27" s="154"/>
      <c r="E27" s="94">
        <f ca="1">TblConstr[[#This Row],[Land]]</f>
        <v>50</v>
      </c>
      <c r="F27" s="94">
        <f ca="1">TblPop[[#This Row],[Peasants]]</f>
        <v>373</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146159</v>
      </c>
      <c r="I27" s="94">
        <f ca="1">OFFSET(TblProd[[#This Row],[Food]],-1,0)+OFFSET(TblProd[[#This Row],[Food/hr]],-1,0)+ROUNDUP((TblConstr[[#This Row],[Farms]]*80+TblConstr[[#This Row],[Docks]]*35)*(1+OFFSET(TblProd[[#This Row],[Bonus Food/hr]],-1,0)),0)</f>
        <v>61185</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MAX(3750,_xlfn.CEILING.MATH(TblProd[[#This Row],[Land]]*2.5+OFFSET(TblTech[[#This Row],[Sum of tech]],-1,0)*150))</f>
        <v>3750</v>
      </c>
      <c r="R27" s="142"/>
      <c r="S27" s="94">
        <f ca="1">ROUNDDOWN(TblProd[[#This Row],[Raw Plat/hr]]*(1+TblProd[[#This Row],[Bonus Plat/hr]]),0)</f>
        <v>1007</v>
      </c>
      <c r="T27" s="94">
        <f ca="1">ROUND(TblProd[[#This Row],[Raw Food/hr]]*(1+TblProd[[#This Row],[Bonus Food/hr]])-TblProd[[#This Row],[Food decay]]-TblProd[[#This Row],[Food eaten]],0)</f>
        <v>1776</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1007.1</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611.85</v>
      </c>
      <c r="AP27" s="94">
        <f ca="1">(1+race_food_consumption)*TblPop[[#This Row],[Total]]*food_per_person*(1+tech_1_10*TblTech[[#This Row],[1-10]]+tech_7_5*TblTech[[#This Row],[7-5]] + IF(TblMagic[[#This Row],[Active Demonic Pact]]&gt;0,demonic_pact_food_cons,0))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153"/>
      <c r="BB27" s="45">
        <f>TblProd[[#This Row],[Hour]]</f>
        <v>24</v>
      </c>
      <c r="BC27" s="158">
        <f>-TblProd[[#This Row],[Bank Lumber]] / 2 + -TblProd[[#This Row],[Bank Gems]] * 2 + -TblProd[[#This Row],[Bank Ore]] / 2</f>
        <v>0</v>
      </c>
      <c r="BD27" s="158"/>
      <c r="BE27" s="158"/>
      <c r="BF27" s="158"/>
      <c r="BG27" s="159">
        <f ca="1">TblProd[[#This Row],[Time]]</f>
        <v>45815.958333333278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146159</v>
      </c>
      <c r="BJ27" s="94">
        <f ca="1">TblProd[[#This Row],[Food]]</f>
        <v>61185</v>
      </c>
      <c r="BK27" s="94">
        <f ca="1">TblProd[[#This Row],[Lumber]]</f>
        <v>32541</v>
      </c>
      <c r="BL27" s="94">
        <f ca="1">TblProd[[#This Row],[Mana]]</f>
        <v>0</v>
      </c>
      <c r="BM27" s="94">
        <f ca="1">TblProd[[#This Row],[Ore]]</f>
        <v>0</v>
      </c>
    </row>
    <row r="28" spans="1:65" x14ac:dyDescent="0.2">
      <c r="A28" s="137">
        <v>25</v>
      </c>
      <c r="B28" s="152">
        <f ca="1">TblImps[[#This Row],[Time]]</f>
        <v>45815.999999999942</v>
      </c>
      <c r="C28" s="153"/>
      <c r="D28" s="154"/>
      <c r="E28" s="94">
        <f ca="1">TblConstr[[#This Row],[Land]]</f>
        <v>50</v>
      </c>
      <c r="F28" s="94">
        <f ca="1">TblPop[[#This Row],[Peasants]]</f>
        <v>369</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147166</v>
      </c>
      <c r="I28" s="94">
        <f ca="1">OFFSET(TblProd[[#This Row],[Food]],-1,0)+OFFSET(TblProd[[#This Row],[Food/hr]],-1,0)+ROUNDUP((TblConstr[[#This Row],[Farms]]*80+TblConstr[[#This Row],[Docks]]*35)*(1+OFFSET(TblProd[[#This Row],[Bonus Food/hr]],-1,0)),0)</f>
        <v>62961</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MAX(3750,_xlfn.CEILING.MATH(TblProd[[#This Row],[Land]]*2.5+OFFSET(TblTech[[#This Row],[Sum of tech]],-1,0)*150))</f>
        <v>3750</v>
      </c>
      <c r="R28" s="142"/>
      <c r="S28" s="94">
        <f ca="1">ROUNDDOWN(TblProd[[#This Row],[Raw Plat/hr]]*(1+TblProd[[#This Row],[Bonus Plat/hr]]),0)</f>
        <v>996</v>
      </c>
      <c r="T28" s="94">
        <f ca="1">ROUND(TblProd[[#This Row],[Raw Food/hr]]*(1+TblProd[[#This Row],[Bonus Food/hr]])-TblProd[[#This Row],[Food decay]]-TblProd[[#This Row],[Food eaten]],0)</f>
        <v>1758</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996.30000000000007</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629.61</v>
      </c>
      <c r="AP28" s="94">
        <f ca="1">(1+race_food_consumption)*TblPop[[#This Row],[Total]]*food_per_person*(1+tech_1_10*TblTech[[#This Row],[1-10]]+tech_7_5*TblTech[[#This Row],[7-5]] + IF(TblMagic[[#This Row],[Active Demonic Pact]]&gt;0,demonic_pact_food_cons,0))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45815.999999999942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147166</v>
      </c>
      <c r="BJ28" s="94">
        <f ca="1">TblProd[[#This Row],[Food]]</f>
        <v>62961</v>
      </c>
      <c r="BK28" s="94">
        <f ca="1">TblProd[[#This Row],[Lumber]]</f>
        <v>33216</v>
      </c>
      <c r="BL28" s="94">
        <f ca="1">TblProd[[#This Row],[Mana]]</f>
        <v>0</v>
      </c>
      <c r="BM28" s="94">
        <f ca="1">TblProd[[#This Row],[Ore]]</f>
        <v>0</v>
      </c>
    </row>
    <row r="29" spans="1:65" x14ac:dyDescent="0.2">
      <c r="A29" s="137">
        <v>26</v>
      </c>
      <c r="B29" s="152">
        <f ca="1">TblImps[[#This Row],[Time]]</f>
        <v>45816.041666666606</v>
      </c>
      <c r="C29" s="153"/>
      <c r="D29" s="154"/>
      <c r="E29" s="94">
        <f ca="1">TblConstr[[#This Row],[Land]]</f>
        <v>50</v>
      </c>
      <c r="F29" s="94">
        <f ca="1">TblPop[[#This Row],[Peasants]]</f>
        <v>365</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148162</v>
      </c>
      <c r="I29" s="94">
        <f ca="1">OFFSET(TblProd[[#This Row],[Food]],-1,0)+OFFSET(TblProd[[#This Row],[Food/hr]],-1,0)+ROUNDUP((TblConstr[[#This Row],[Farms]]*80+TblConstr[[#This Row],[Docks]]*35)*(1+OFFSET(TblProd[[#This Row],[Bonus Food/hr]],-1,0)),0)</f>
        <v>64719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MAX(3750,_xlfn.CEILING.MATH(TblProd[[#This Row],[Land]]*2.5+OFFSET(TblTech[[#This Row],[Sum of tech]],-1,0)*150))</f>
        <v>3750</v>
      </c>
      <c r="R29" s="142"/>
      <c r="S29" s="94">
        <f ca="1">ROUNDDOWN(TblProd[[#This Row],[Raw Plat/hr]]*(1+TblProd[[#This Row],[Bonus Plat/hr]]),0)</f>
        <v>985</v>
      </c>
      <c r="T29" s="94">
        <f ca="1">ROUND(TblProd[[#This Row],[Raw Food/hr]]*(1+TblProd[[#This Row],[Bonus Food/hr]])-TblProd[[#This Row],[Food decay]]-TblProd[[#This Row],[Food eaten]],0)</f>
        <v>1741</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985.50000000000011</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647.19000000000005</v>
      </c>
      <c r="AP29" s="94">
        <f ca="1">(1+race_food_consumption)*TblPop[[#This Row],[Total]]*food_per_person*(1+tech_1_10*TblTech[[#This Row],[1-10]]+tech_7_5*TblTech[[#This Row],[7-5]] + IF(TblMagic[[#This Row],[Active Demonic Pact]]&gt;0,demonic_pact_food_cons,0))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45816.041666666606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148162</v>
      </c>
      <c r="BJ29" s="94">
        <f ca="1">TblProd[[#This Row],[Food]]</f>
        <v>64719</v>
      </c>
      <c r="BK29" s="94">
        <f ca="1">TblProd[[#This Row],[Lumber]]</f>
        <v>33884</v>
      </c>
      <c r="BL29" s="94">
        <f ca="1">TblProd[[#This Row],[Mana]]</f>
        <v>0</v>
      </c>
      <c r="BM29" s="94">
        <f ca="1">TblProd[[#This Row],[Ore]]</f>
        <v>0</v>
      </c>
    </row>
    <row r="30" spans="1:65" x14ac:dyDescent="0.2">
      <c r="A30" s="137">
        <v>27</v>
      </c>
      <c r="B30" s="152">
        <f ca="1">TblImps[[#This Row],[Time]]</f>
        <v>45816.08333333327</v>
      </c>
      <c r="C30" s="153"/>
      <c r="D30" s="154"/>
      <c r="E30" s="94">
        <f ca="1">TblConstr[[#This Row],[Land]]</f>
        <v>50</v>
      </c>
      <c r="F30" s="94">
        <f ca="1">TblPop[[#This Row],[Peasants]]</f>
        <v>361</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149147</v>
      </c>
      <c r="I30" s="94">
        <f ca="1">OFFSET(TblProd[[#This Row],[Food]],-1,0)+OFFSET(TblProd[[#This Row],[Food/hr]],-1,0)+ROUNDUP((TblConstr[[#This Row],[Farms]]*80+TblConstr[[#This Row],[Docks]]*35)*(1+OFFSET(TblProd[[#This Row],[Bonus Food/hr]],-1,0)),0)</f>
        <v>66460</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MAX(3750,_xlfn.CEILING.MATH(TblProd[[#This Row],[Land]]*2.5+OFFSET(TblTech[[#This Row],[Sum of tech]],-1,0)*150))</f>
        <v>3750</v>
      </c>
      <c r="R30" s="142"/>
      <c r="S30" s="94">
        <f ca="1">ROUNDDOWN(TblProd[[#This Row],[Raw Plat/hr]]*(1+TblProd[[#This Row],[Bonus Plat/hr]]),0)</f>
        <v>974</v>
      </c>
      <c r="T30" s="94">
        <f ca="1">ROUND(TblProd[[#This Row],[Raw Food/hr]]*(1+TblProd[[#This Row],[Bonus Food/hr]])-TblProd[[#This Row],[Food decay]]-TblProd[[#This Row],[Food eaten]],0)</f>
        <v>1723</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974.7</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664.6</v>
      </c>
      <c r="AP30" s="94">
        <f ca="1">(1+race_food_consumption)*TblPop[[#This Row],[Total]]*food_per_person*(1+tech_1_10*TblTech[[#This Row],[1-10]]+tech_7_5*TblTech[[#This Row],[7-5]] + IF(TblMagic[[#This Row],[Active Demonic Pact]]&gt;0,demonic_pact_food_cons,0))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45816.08333333327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149147</v>
      </c>
      <c r="BJ30" s="94">
        <f ca="1">TblProd[[#This Row],[Food]]</f>
        <v>66460</v>
      </c>
      <c r="BK30" s="94">
        <f ca="1">TblProd[[#This Row],[Lumber]]</f>
        <v>34545</v>
      </c>
      <c r="BL30" s="94">
        <f ca="1">TblProd[[#This Row],[Mana]]</f>
        <v>0</v>
      </c>
      <c r="BM30" s="94">
        <f ca="1">TblProd[[#This Row],[Ore]]</f>
        <v>0</v>
      </c>
    </row>
    <row r="31" spans="1:65" x14ac:dyDescent="0.2">
      <c r="A31" s="137">
        <v>28</v>
      </c>
      <c r="B31" s="152">
        <f ca="1">TblImps[[#This Row],[Time]]</f>
        <v>45816.124999999935</v>
      </c>
      <c r="C31" s="153"/>
      <c r="D31" s="154"/>
      <c r="E31" s="94">
        <f ca="1">TblConstr[[#This Row],[Land]]</f>
        <v>50</v>
      </c>
      <c r="F31" s="94">
        <f ca="1">TblPop[[#This Row],[Peasants]]</f>
        <v>357</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150121</v>
      </c>
      <c r="I31" s="94">
        <f ca="1">OFFSET(TblProd[[#This Row],[Food]],-1,0)+OFFSET(TblProd[[#This Row],[Food/hr]],-1,0)+ROUNDUP((TblConstr[[#This Row],[Farms]]*80+TblConstr[[#This Row],[Docks]]*35)*(1+OFFSET(TblProd[[#This Row],[Bonus Food/hr]],-1,0)),0)</f>
        <v>68183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MAX(3750,_xlfn.CEILING.MATH(TblProd[[#This Row],[Land]]*2.5+OFFSET(TblTech[[#This Row],[Sum of tech]],-1,0)*150))</f>
        <v>3750</v>
      </c>
      <c r="R31" s="142"/>
      <c r="S31" s="94">
        <f ca="1">ROUNDDOWN(TblProd[[#This Row],[Raw Plat/hr]]*(1+TblProd[[#This Row],[Bonus Plat/hr]]),0)</f>
        <v>963</v>
      </c>
      <c r="T31" s="94">
        <f ca="1">ROUND(TblProd[[#This Row],[Raw Food/hr]]*(1+TblProd[[#This Row],[Bonus Food/hr]])-TblProd[[#This Row],[Food decay]]-TblProd[[#This Row],[Food eaten]],0)</f>
        <v>1706</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963.90000000000009</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681.83</v>
      </c>
      <c r="AP31" s="94">
        <f ca="1">(1+race_food_consumption)*TblPop[[#This Row],[Total]]*food_per_person*(1+tech_1_10*TblTech[[#This Row],[1-10]]+tech_7_5*TblTech[[#This Row],[7-5]] + IF(TblMagic[[#This Row],[Active Demonic Pact]]&gt;0,demonic_pact_food_cons,0))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45816.124999999935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150121</v>
      </c>
      <c r="BJ31" s="94">
        <f ca="1">TblProd[[#This Row],[Food]]</f>
        <v>68183</v>
      </c>
      <c r="BK31" s="94">
        <f ca="1">TblProd[[#This Row],[Lumber]]</f>
        <v>35200</v>
      </c>
      <c r="BL31" s="94">
        <f ca="1">TblProd[[#This Row],[Mana]]</f>
        <v>0</v>
      </c>
      <c r="BM31" s="94">
        <f ca="1">TblProd[[#This Row],[Ore]]</f>
        <v>0</v>
      </c>
    </row>
    <row r="32" spans="1:65" x14ac:dyDescent="0.2">
      <c r="A32" s="137">
        <v>29</v>
      </c>
      <c r="B32" s="152">
        <f ca="1">TblImps[[#This Row],[Time]]</f>
        <v>45816.166666666599</v>
      </c>
      <c r="C32" s="153"/>
      <c r="D32" s="154"/>
      <c r="E32" s="94">
        <f ca="1">TblConstr[[#This Row],[Land]]</f>
        <v>50</v>
      </c>
      <c r="F32" s="94">
        <f ca="1">TblPop[[#This Row],[Peasants]]</f>
        <v>353</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151084</v>
      </c>
      <c r="I32" s="94">
        <f ca="1">OFFSET(TblProd[[#This Row],[Food]],-1,0)+OFFSET(TblProd[[#This Row],[Food/hr]],-1,0)+ROUNDUP((TblConstr[[#This Row],[Farms]]*80+TblConstr[[#This Row],[Docks]]*35)*(1+OFFSET(TblProd[[#This Row],[Bonus Food/hr]],-1,0)),0)</f>
        <v>69889</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MAX(3750,_xlfn.CEILING.MATH(TblProd[[#This Row],[Land]]*2.5+OFFSET(TblTech[[#This Row],[Sum of tech]],-1,0)*150))</f>
        <v>3750</v>
      </c>
      <c r="R32" s="142"/>
      <c r="S32" s="94">
        <f ca="1">ROUNDDOWN(TblProd[[#This Row],[Raw Plat/hr]]*(1+TblProd[[#This Row],[Bonus Plat/hr]]),0)</f>
        <v>953</v>
      </c>
      <c r="T32" s="94">
        <f ca="1">ROUND(TblProd[[#This Row],[Raw Food/hr]]*(1+TblProd[[#This Row],[Bonus Food/hr]])-TblProd[[#This Row],[Food decay]]-TblProd[[#This Row],[Food eaten]],0)</f>
        <v>1689</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953.1</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698.89</v>
      </c>
      <c r="AP32" s="94">
        <f ca="1">(1+race_food_consumption)*TblPop[[#This Row],[Total]]*food_per_person*(1+tech_1_10*TblTech[[#This Row],[1-10]]+tech_7_5*TblTech[[#This Row],[7-5]] + IF(TblMagic[[#This Row],[Active Demonic Pact]]&gt;0,demonic_pact_food_cons,0))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45816.166666666599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151084</v>
      </c>
      <c r="BJ32" s="94">
        <f ca="1">TblProd[[#This Row],[Food]]</f>
        <v>69889</v>
      </c>
      <c r="BK32" s="94">
        <f ca="1">TblProd[[#This Row],[Lumber]]</f>
        <v>35848</v>
      </c>
      <c r="BL32" s="94">
        <f ca="1">TblProd[[#This Row],[Mana]]</f>
        <v>0</v>
      </c>
      <c r="BM32" s="94">
        <f ca="1">TblProd[[#This Row],[Ore]]</f>
        <v>0</v>
      </c>
    </row>
    <row r="33" spans="1:65" x14ac:dyDescent="0.2">
      <c r="A33" s="137">
        <v>30</v>
      </c>
      <c r="B33" s="152">
        <f ca="1">TblImps[[#This Row],[Time]]</f>
        <v>45816.208333333263</v>
      </c>
      <c r="C33" s="153"/>
      <c r="D33" s="154"/>
      <c r="E33" s="94">
        <f ca="1">TblConstr[[#This Row],[Land]]</f>
        <v>50</v>
      </c>
      <c r="F33" s="94">
        <f ca="1">TblPop[[#This Row],[Peasants]]</f>
        <v>349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152037</v>
      </c>
      <c r="I33" s="94">
        <f ca="1">OFFSET(TblProd[[#This Row],[Food]],-1,0)+OFFSET(TblProd[[#This Row],[Food/hr]],-1,0)+ROUNDUP((TblConstr[[#This Row],[Farms]]*80+TblConstr[[#This Row],[Docks]]*35)*(1+OFFSET(TblProd[[#This Row],[Bonus Food/hr]],-1,0)),0)</f>
        <v>71578</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MAX(3750,_xlfn.CEILING.MATH(TblProd[[#This Row],[Land]]*2.5+OFFSET(TblTech[[#This Row],[Sum of tech]],-1,0)*150))</f>
        <v>3750</v>
      </c>
      <c r="R33" s="142"/>
      <c r="S33" s="94">
        <f ca="1">ROUNDDOWN(TblProd[[#This Row],[Raw Plat/hr]]*(1+TblProd[[#This Row],[Bonus Plat/hr]]),0)</f>
        <v>942</v>
      </c>
      <c r="T33" s="94">
        <f ca="1">ROUND(TblProd[[#This Row],[Raw Food/hr]]*(1+TblProd[[#This Row],[Bonus Food/hr]])-TblProd[[#This Row],[Food decay]]-TblProd[[#This Row],[Food eaten]],0)</f>
        <v>1672</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942.30000000000007</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715.78</v>
      </c>
      <c r="AP33" s="94">
        <f ca="1">(1+race_food_consumption)*TblPop[[#This Row],[Total]]*food_per_person*(1+tech_1_10*TblTech[[#This Row],[1-10]]+tech_7_5*TblTech[[#This Row],[7-5]] + IF(TblMagic[[#This Row],[Active Demonic Pact]]&gt;0,demonic_pact_food_cons,0))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45816.208333333263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152037</v>
      </c>
      <c r="BJ33" s="94">
        <f ca="1">TblProd[[#This Row],[Food]]</f>
        <v>71578</v>
      </c>
      <c r="BK33" s="94">
        <f ca="1">TblProd[[#This Row],[Lumber]]</f>
        <v>36490</v>
      </c>
      <c r="BL33" s="94">
        <f ca="1">TblProd[[#This Row],[Mana]]</f>
        <v>0</v>
      </c>
      <c r="BM33" s="94">
        <f ca="1">TblProd[[#This Row],[Ore]]</f>
        <v>0</v>
      </c>
    </row>
    <row r="34" spans="1:65" x14ac:dyDescent="0.2">
      <c r="A34" s="137">
        <v>31</v>
      </c>
      <c r="B34" s="152">
        <f ca="1">TblImps[[#This Row],[Time]]</f>
        <v>45816.249999999927</v>
      </c>
      <c r="C34" s="153"/>
      <c r="D34" s="154"/>
      <c r="E34" s="94">
        <f ca="1">TblConstr[[#This Row],[Land]]</f>
        <v>50</v>
      </c>
      <c r="F34" s="94">
        <f ca="1">TblPop[[#This Row],[Peasants]]</f>
        <v>346</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152979</v>
      </c>
      <c r="I34" s="94">
        <f ca="1">OFFSET(TblProd[[#This Row],[Food]],-1,0)+OFFSET(TblProd[[#This Row],[Food/hr]],-1,0)+ROUNDUP((TblConstr[[#This Row],[Farms]]*80+TblConstr[[#This Row],[Docks]]*35)*(1+OFFSET(TblProd[[#This Row],[Bonus Food/hr]],-1,0)),0)</f>
        <v>73250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MAX(3750,_xlfn.CEILING.MATH(TblProd[[#This Row],[Land]]*2.5+OFFSET(TblTech[[#This Row],[Sum of tech]],-1,0)*150))</f>
        <v>3750</v>
      </c>
      <c r="R34" s="142"/>
      <c r="S34" s="94">
        <f ca="1">ROUNDDOWN(TblProd[[#This Row],[Raw Plat/hr]]*(1+TblProd[[#This Row],[Bonus Plat/hr]]),0)</f>
        <v>934</v>
      </c>
      <c r="T34" s="94">
        <f ca="1">ROUND(TblProd[[#This Row],[Raw Food/hr]]*(1+TblProd[[#This Row],[Bonus Food/hr]])-TblProd[[#This Row],[Food decay]]-TblProd[[#This Row],[Food eaten]],0)</f>
        <v>1655</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934.2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732.5</v>
      </c>
      <c r="AP34" s="94">
        <f ca="1">(1+race_food_consumption)*TblPop[[#This Row],[Total]]*food_per_person*(1+tech_1_10*TblTech[[#This Row],[1-10]]+tech_7_5*TblTech[[#This Row],[7-5]] + IF(TblMagic[[#This Row],[Active Demonic Pact]]&gt;0,demonic_pact_food_cons,0))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45816.249999999927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152979</v>
      </c>
      <c r="BJ34" s="94">
        <f ca="1">TblProd[[#This Row],[Food]]</f>
        <v>73250</v>
      </c>
      <c r="BK34" s="94">
        <f ca="1">TblProd[[#This Row],[Lumber]]</f>
        <v>37125</v>
      </c>
      <c r="BL34" s="94">
        <f ca="1">TblProd[[#This Row],[Mana]]</f>
        <v>0</v>
      </c>
      <c r="BM34" s="94">
        <f ca="1">TblProd[[#This Row],[Ore]]</f>
        <v>0</v>
      </c>
    </row>
    <row r="35" spans="1:65" x14ac:dyDescent="0.2">
      <c r="A35" s="137">
        <v>32</v>
      </c>
      <c r="B35" s="152">
        <f ca="1">TblImps[[#This Row],[Time]]</f>
        <v>45816.291666666591</v>
      </c>
      <c r="C35" s="153"/>
      <c r="D35" s="154"/>
      <c r="E35" s="94">
        <f ca="1">TblConstr[[#This Row],[Land]]</f>
        <v>50</v>
      </c>
      <c r="F35" s="94">
        <f ca="1">TblPop[[#This Row],[Peasants]]</f>
        <v>343</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153913</v>
      </c>
      <c r="I35" s="94">
        <f ca="1">OFFSET(TblProd[[#This Row],[Food]],-1,0)+OFFSET(TblProd[[#This Row],[Food/hr]],-1,0)+ROUNDUP((TblConstr[[#This Row],[Farms]]*80+TblConstr[[#This Row],[Docks]]*35)*(1+OFFSET(TblProd[[#This Row],[Bonus Food/hr]],-1,0)),0)</f>
        <v>74905</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MAX(3750,_xlfn.CEILING.MATH(TblProd[[#This Row],[Land]]*2.5+OFFSET(TblTech[[#This Row],[Sum of tech]],-1,0)*150))</f>
        <v>3750</v>
      </c>
      <c r="R35" s="142"/>
      <c r="S35" s="94">
        <f ca="1">ROUNDDOWN(TblProd[[#This Row],[Raw Plat/hr]]*(1+TblProd[[#This Row],[Bonus Plat/hr]]),0)</f>
        <v>926</v>
      </c>
      <c r="T35" s="94">
        <f ca="1">ROUND(TblProd[[#This Row],[Raw Food/hr]]*(1+TblProd[[#This Row],[Bonus Food/hr]])-TblProd[[#This Row],[Food decay]]-TblProd[[#This Row],[Food eaten]],0)</f>
        <v>1639</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926.1</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749.05000000000007</v>
      </c>
      <c r="AP35" s="94">
        <f ca="1">(1+race_food_consumption)*TblPop[[#This Row],[Total]]*food_per_person*(1+tech_1_10*TblTech[[#This Row],[1-10]]+tech_7_5*TblTech[[#This Row],[7-5]] + IF(TblMagic[[#This Row],[Active Demonic Pact]]&gt;0,demonic_pact_food_cons,0))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45816.291666666591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153913</v>
      </c>
      <c r="BJ35" s="94">
        <f ca="1">TblProd[[#This Row],[Food]]</f>
        <v>74905</v>
      </c>
      <c r="BK35" s="94">
        <f ca="1">TblProd[[#This Row],[Lumber]]</f>
        <v>37754</v>
      </c>
      <c r="BL35" s="94">
        <f ca="1">TblProd[[#This Row],[Mana]]</f>
        <v>0</v>
      </c>
      <c r="BM35" s="94">
        <f ca="1">TblProd[[#This Row],[Ore]]</f>
        <v>0</v>
      </c>
    </row>
    <row r="36" spans="1:65" x14ac:dyDescent="0.2">
      <c r="A36" s="137">
        <v>33</v>
      </c>
      <c r="B36" s="152">
        <f ca="1">TblImps[[#This Row],[Time]]</f>
        <v>45816.333333333256</v>
      </c>
      <c r="C36" s="153"/>
      <c r="D36" s="154"/>
      <c r="E36" s="94">
        <f ca="1">TblConstr[[#This Row],[Land]]</f>
        <v>50</v>
      </c>
      <c r="F36" s="94">
        <f ca="1">TblPop[[#This Row],[Peasants]]</f>
        <v>340</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154839</v>
      </c>
      <c r="I36" s="94">
        <f ca="1">OFFSET(TblProd[[#This Row],[Food]],-1,0)+OFFSET(TblProd[[#This Row],[Food/hr]],-1,0)+ROUNDUP((TblConstr[[#This Row],[Farms]]*80+TblConstr[[#This Row],[Docks]]*35)*(1+OFFSET(TblProd[[#This Row],[Bonus Food/hr]],-1,0)),0)</f>
        <v>76544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MAX(3750,_xlfn.CEILING.MATH(TblProd[[#This Row],[Land]]*2.5+OFFSET(TblTech[[#This Row],[Sum of tech]],-1,0)*150))</f>
        <v>3750</v>
      </c>
      <c r="R36" s="142"/>
      <c r="S36" s="94">
        <f ca="1">ROUNDDOWN(TblProd[[#This Row],[Raw Plat/hr]]*(1+TblProd[[#This Row],[Bonus Plat/hr]]),0)</f>
        <v>918</v>
      </c>
      <c r="T36" s="94">
        <f ca="1">ROUND(TblProd[[#This Row],[Raw Food/hr]]*(1+TblProd[[#This Row],[Bonus Food/hr]])-TblProd[[#This Row],[Food decay]]-TblProd[[#This Row],[Food eaten]],0)</f>
        <v>1622</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918.00000000000011</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765.44</v>
      </c>
      <c r="AP36" s="94">
        <f ca="1">(1+race_food_consumption)*TblPop[[#This Row],[Total]]*food_per_person*(1+tech_1_10*TblTech[[#This Row],[1-10]]+tech_7_5*TblTech[[#This Row],[7-5]] + IF(TblMagic[[#This Row],[Active Demonic Pact]]&gt;0,demonic_pact_food_cons,0))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45816.333333333256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154839</v>
      </c>
      <c r="BJ36" s="94">
        <f ca="1">TblProd[[#This Row],[Food]]</f>
        <v>76544</v>
      </c>
      <c r="BK36" s="94">
        <f ca="1">TblProd[[#This Row],[Lumber]]</f>
        <v>38376</v>
      </c>
      <c r="BL36" s="94">
        <f ca="1">TblProd[[#This Row],[Mana]]</f>
        <v>0</v>
      </c>
      <c r="BM36" s="94">
        <f ca="1">TblProd[[#This Row],[Ore]]</f>
        <v>0</v>
      </c>
    </row>
    <row r="37" spans="1:65" x14ac:dyDescent="0.2">
      <c r="A37" s="137">
        <v>34</v>
      </c>
      <c r="B37" s="152">
        <f ca="1">TblImps[[#This Row],[Time]]</f>
        <v>45816.37499999992</v>
      </c>
      <c r="C37" s="153"/>
      <c r="D37" s="154"/>
      <c r="E37" s="94">
        <f ca="1">TblConstr[[#This Row],[Land]]</f>
        <v>50</v>
      </c>
      <c r="F37" s="94">
        <f ca="1">TblPop[[#This Row],[Peasants]]</f>
        <v>337</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155757</v>
      </c>
      <c r="I37" s="94">
        <f ca="1">OFFSET(TblProd[[#This Row],[Food]],-1,0)+OFFSET(TblProd[[#This Row],[Food/hr]],-1,0)+ROUNDUP((TblConstr[[#This Row],[Farms]]*80+TblConstr[[#This Row],[Docks]]*35)*(1+OFFSET(TblProd[[#This Row],[Bonus Food/hr]],-1,0)),0)</f>
        <v>78166</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MAX(3750,_xlfn.CEILING.MATH(TblProd[[#This Row],[Land]]*2.5+OFFSET(TblTech[[#This Row],[Sum of tech]],-1,0)*150))</f>
        <v>3750</v>
      </c>
      <c r="R37" s="142"/>
      <c r="S37" s="94">
        <f ca="1">ROUNDDOWN(TblProd[[#This Row],[Raw Plat/hr]]*(1+TblProd[[#This Row],[Bonus Plat/hr]]),0)</f>
        <v>909</v>
      </c>
      <c r="T37" s="94">
        <f ca="1">ROUND(TblProd[[#This Row],[Raw Food/hr]]*(1+TblProd[[#This Row],[Bonus Food/hr]])-TblProd[[#This Row],[Food decay]]-TblProd[[#This Row],[Food eaten]],0)</f>
        <v>1606</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909.90000000000009</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781.66</v>
      </c>
      <c r="AP37" s="94">
        <f ca="1">(1+race_food_consumption)*TblPop[[#This Row],[Total]]*food_per_person*(1+tech_1_10*TblTech[[#This Row],[1-10]]+tech_7_5*TblTech[[#This Row],[7-5]] + IF(TblMagic[[#This Row],[Active Demonic Pact]]&gt;0,demonic_pact_food_cons,0))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45816.37499999992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155757</v>
      </c>
      <c r="BJ37" s="94">
        <f ca="1">TblProd[[#This Row],[Food]]</f>
        <v>78166</v>
      </c>
      <c r="BK37" s="94">
        <f ca="1">TblProd[[#This Row],[Lumber]]</f>
        <v>38992</v>
      </c>
      <c r="BL37" s="94">
        <f ca="1">TblProd[[#This Row],[Mana]]</f>
        <v>0</v>
      </c>
      <c r="BM37" s="94">
        <f ca="1">TblProd[[#This Row],[Ore]]</f>
        <v>0</v>
      </c>
    </row>
    <row r="38" spans="1:65" x14ac:dyDescent="0.2">
      <c r="A38" s="137">
        <v>35</v>
      </c>
      <c r="B38" s="152">
        <f ca="1">TblImps[[#This Row],[Time]]</f>
        <v>45816.416666666584</v>
      </c>
      <c r="C38" s="153"/>
      <c r="D38" s="154"/>
      <c r="E38" s="94">
        <f ca="1">TblConstr[[#This Row],[Land]]</f>
        <v>50</v>
      </c>
      <c r="F38" s="94">
        <f ca="1">TblPop[[#This Row],[Peasants]]</f>
        <v>334</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156666</v>
      </c>
      <c r="I38" s="94">
        <f ca="1">OFFSET(TblProd[[#This Row],[Food]],-1,0)+OFFSET(TblProd[[#This Row],[Food/hr]],-1,0)+ROUNDUP((TblConstr[[#This Row],[Farms]]*80+TblConstr[[#This Row],[Docks]]*35)*(1+OFFSET(TblProd[[#This Row],[Bonus Food/hr]],-1,0)),0)</f>
        <v>79772</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MAX(3750,_xlfn.CEILING.MATH(TblProd[[#This Row],[Land]]*2.5+OFFSET(TblTech[[#This Row],[Sum of tech]],-1,0)*150))</f>
        <v>3750</v>
      </c>
      <c r="R38" s="142"/>
      <c r="S38" s="94">
        <f ca="1">ROUNDDOWN(TblProd[[#This Row],[Raw Plat/hr]]*(1+TblProd[[#This Row],[Bonus Plat/hr]]),0)</f>
        <v>901</v>
      </c>
      <c r="T38" s="94">
        <f ca="1">ROUND(TblProd[[#This Row],[Raw Food/hr]]*(1+TblProd[[#This Row],[Bonus Food/hr]])-TblProd[[#This Row],[Food decay]]-TblProd[[#This Row],[Food eaten]],0)</f>
        <v>1590</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901.80000000000007</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797.72</v>
      </c>
      <c r="AP38" s="94">
        <f ca="1">(1+race_food_consumption)*TblPop[[#This Row],[Total]]*food_per_person*(1+tech_1_10*TblTech[[#This Row],[1-10]]+tech_7_5*TblTech[[#This Row],[7-5]] + IF(TblMagic[[#This Row],[Active Demonic Pact]]&gt;0,demonic_pact_food_cons,0))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45816.416666666584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156666</v>
      </c>
      <c r="BJ38" s="94">
        <f ca="1">TblProd[[#This Row],[Food]]</f>
        <v>79772</v>
      </c>
      <c r="BK38" s="94">
        <f ca="1">TblProd[[#This Row],[Lumber]]</f>
        <v>39602</v>
      </c>
      <c r="BL38" s="94">
        <f ca="1">TblProd[[#This Row],[Mana]]</f>
        <v>0</v>
      </c>
      <c r="BM38" s="94">
        <f ca="1">TblProd[[#This Row],[Ore]]</f>
        <v>0</v>
      </c>
    </row>
    <row r="39" spans="1:65" x14ac:dyDescent="0.2">
      <c r="A39" s="137">
        <v>36</v>
      </c>
      <c r="B39" s="152">
        <f ca="1">TblImps[[#This Row],[Time]]</f>
        <v>45816.458333333248</v>
      </c>
      <c r="C39" s="153"/>
      <c r="D39" s="154"/>
      <c r="E39" s="94">
        <f ca="1">TblConstr[[#This Row],[Land]]</f>
        <v>50</v>
      </c>
      <c r="F39" s="94">
        <f ca="1">TblPop[[#This Row],[Peasants]]</f>
        <v>331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157567</v>
      </c>
      <c r="I39" s="94">
        <f ca="1">OFFSET(TblProd[[#This Row],[Food]],-1,0)+OFFSET(TblProd[[#This Row],[Food/hr]],-1,0)+ROUNDUP((TblConstr[[#This Row],[Farms]]*80+TblConstr[[#This Row],[Docks]]*35)*(1+OFFSET(TblProd[[#This Row],[Bonus Food/hr]],-1,0)),0)</f>
        <v>81362</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MAX(3750,_xlfn.CEILING.MATH(TblProd[[#This Row],[Land]]*2.5+OFFSET(TblTech[[#This Row],[Sum of tech]],-1,0)*150))</f>
        <v>3750</v>
      </c>
      <c r="R39" s="142"/>
      <c r="S39" s="94">
        <f ca="1">ROUNDDOWN(TblProd[[#This Row],[Raw Plat/hr]]*(1+TblProd[[#This Row],[Bonus Plat/hr]]),0)</f>
        <v>893</v>
      </c>
      <c r="T39" s="94">
        <f ca="1">ROUND(TblProd[[#This Row],[Raw Food/hr]]*(1+TblProd[[#This Row],[Bonus Food/hr]])-TblProd[[#This Row],[Food decay]]-TblProd[[#This Row],[Food eaten]],0)</f>
        <v>1574</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893.7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813.62</v>
      </c>
      <c r="AP39" s="94">
        <f ca="1">(1+race_food_consumption)*TblPop[[#This Row],[Total]]*food_per_person*(1+tech_1_10*TblTech[[#This Row],[1-10]]+tech_7_5*TblTech[[#This Row],[7-5]] + IF(TblMagic[[#This Row],[Active Demonic Pact]]&gt;0,demonic_pact_food_cons,0))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45816.458333333248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157567</v>
      </c>
      <c r="BJ39" s="94">
        <f ca="1">TblProd[[#This Row],[Food]]</f>
        <v>81362</v>
      </c>
      <c r="BK39" s="94">
        <f ca="1">TblProd[[#This Row],[Lumber]]</f>
        <v>40206</v>
      </c>
      <c r="BL39" s="94">
        <f ca="1">TblProd[[#This Row],[Mana]]</f>
        <v>0</v>
      </c>
      <c r="BM39" s="94">
        <f ca="1">TblProd[[#This Row],[Ore]]</f>
        <v>0</v>
      </c>
    </row>
    <row r="40" spans="1:65" x14ac:dyDescent="0.2">
      <c r="A40" s="137">
        <v>37</v>
      </c>
      <c r="B40" s="152">
        <f ca="1">TblImps[[#This Row],[Time]]</f>
        <v>45816.499999999913</v>
      </c>
      <c r="C40" s="153"/>
      <c r="D40" s="154"/>
      <c r="E40" s="94">
        <f ca="1">TblConstr[[#This Row],[Land]]</f>
        <v>50</v>
      </c>
      <c r="F40" s="94">
        <f ca="1">TblPop[[#This Row],[Peasants]]</f>
        <v>328</v>
      </c>
      <c r="G40" s="94">
        <f ca="1">TblMili[[#This Row],[Networth (2)]]</f>
        <v>1250</v>
      </c>
      <c r="H40" s="94">
        <f ca="1">OFFSET(TblProd[[#This Row],[Platinum]],-1,0)+OFFSET(TblProd[[#This Row],[Plat/hr]],-1,0) - TblProd[[#This Row],[Expenses Platinum]] + IF(TblProd[[#This Row],[Plat Bonus]],TblPop[[#This Row],[Peasants]]*4) + SUM(TblConstr[[#This Row],[Dest Hom]:[Dest Doc]])*TblConstr[[#This Row],[CPA Platinum -DB]]*tech_3_3_2*TblTech[[#This Row],[3-3]]</f>
        <v>158460</v>
      </c>
      <c r="I40" s="94">
        <f ca="1">OFFSET(TblProd[[#This Row],[Food]],-1,0)+OFFSET(TblProd[[#This Row],[Food/hr]],-1,0)+ROUNDUP((TblConstr[[#This Row],[Farms]]*80+TblConstr[[#This Row],[Docks]]*35)*(1+OFFSET(TblProd[[#This Row],[Bonus Food/hr]],-1,0)),0)</f>
        <v>82936</v>
      </c>
      <c r="J40" s="94">
        <f ca="1">OFFSET(TblProd[[#This Row],[Lumber]],-1,0)+OFFSET(TblProd[[#This Row],[Lumber/hr]],-1,0) - TblProd[[#This Row],[Expenses Lumber]] + SUM(TblConstr[[#This Row],[Dest Hom]:[Dest Doc]])*TblConstr[[#This Row],[CPA Lumber -DB]]*tech_3_3_2*TblTech[[#This Row],[3-3]]</f>
        <v>40804</v>
      </c>
      <c r="K40" s="94">
        <f ca="1">OFFSET(TblProd[[#This Row],[Mana]],-1,0)+OFFSET(TblProd[[#This Row],[Mana/hr]],-1,0)- TblProd[[#This Row],[Expenses Mana]]</f>
        <v>0</v>
      </c>
      <c r="L40" s="94">
        <f ca="1">OFFSET(TblProd[[#This Row],[Ore]],-1,0)+OFFSET(TblProd[[#This Row],[Ore/hr]],-1,0) -TblProd[[#This Row],[Expenses Ore]]</f>
        <v>0</v>
      </c>
      <c r="M40" s="94">
        <f ca="1">OFFSET(TblProd[[#This Row],[Gems]],-1,0)+OFFSET(TblProd[[#This Row],[Gems/hr]],-1,0) - TblProd[[#This Row],[Expenses Gems]]</f>
        <v>0</v>
      </c>
      <c r="N40" s="94">
        <f ca="1">OFFSET(TblProd[[#This Row],[Boats]],-1,0)+OFFSET(TblProd[[#This Row],[Boats/hr]],-1,0)</f>
        <v>0</v>
      </c>
      <c r="O40" s="94">
        <f ca="1">OFFSET(TblProd[[#This Row],[Prestige]],-1,0)</f>
        <v>250</v>
      </c>
      <c r="P4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4">
        <f ca="1">MAX(3750,_xlfn.CEILING.MATH(TblProd[[#This Row],[Land]]*2.5+OFFSET(TblTech[[#This Row],[Sum of tech]],-1,0)*150))</f>
        <v>3750</v>
      </c>
      <c r="R40" s="142"/>
      <c r="S40" s="94">
        <f ca="1">ROUNDDOWN(TblProd[[#This Row],[Raw Plat/hr]]*(1+TblProd[[#This Row],[Bonus Plat/hr]]),0)</f>
        <v>885</v>
      </c>
      <c r="T40" s="94">
        <f ca="1">ROUND(TblProd[[#This Row],[Raw Food/hr]]*(1+TblProd[[#This Row],[Bonus Food/hr]])-TblProd[[#This Row],[Food decay]]-TblProd[[#This Row],[Food eaten]],0)</f>
        <v>1558</v>
      </c>
      <c r="U40" s="94">
        <f ca="1">ROUND(TblProd[[#This Row],[Raw Lumber/hr]]*(1+TblProd[[#This Row],[Bonus Lumber/hr]])-TblProd[[#This Row],[Lumber rot]],0)</f>
        <v>592</v>
      </c>
      <c r="V40" s="94">
        <f ca="1">ROUND(TblProd[[#This Row],[Raw Mana/hr]]*(1+TblProd[[#This Row],[Bonus Mana/hr]])-TblProd[[#This Row],[Mana drain]],0)</f>
        <v>0</v>
      </c>
      <c r="W40" s="94">
        <f ca="1">ROUNDDOWN(TblProd[[#This Row],[Raw Ore/hr]]*(1+TblProd[[#This Row],[Bonux Ore/hr]]),0)</f>
        <v>0</v>
      </c>
      <c r="X40" s="94">
        <f ca="1">ROUNDDOWN(TblProd[[#This Row],[Raw Gems/hr]]*(1+TblProd[[#This Row],[Bonus Gems/hr]]),0)</f>
        <v>0</v>
      </c>
      <c r="Y40" s="155">
        <f ca="1">OFFSET(TblConstr[[#This Row],[Tot Doc]],1,0)*dock_boats_hr * (1 + tech_4_1*TblTech[[#This Row],[4-1]])</f>
        <v>0</v>
      </c>
      <c r="Z40" s="154"/>
      <c r="AA40" s="94">
        <f ca="1">TblPop[[#This Row],[Peasants]]*tax*TblPop[[#This Row],[Employment]] + (Construction!AZ41+Construction!BX41)*(alch_plat+(Magic!AN40&gt;0)*alchemist_flame_bonus)</f>
        <v>885.6</v>
      </c>
      <c r="AB40" s="94">
        <f ca="1">TblConstr[[#This Row],[Tot Farm]]*farm_food + TblConstr[[#This Row],[Tot Doc]]*dock_food</f>
        <v>2400</v>
      </c>
      <c r="AC40" s="94">
        <f ca="1">TblConstr[[#This Row],[Tot Ly]]*ly_lumber + TblConstr[[#This Row],[Tot Hav]]*fh_lumber + IF(race="Wood Elf",TblMili[[#This Row],[Unit 2]]*MIN(TblMili[[#This Row],[Homeland%]]/wisp_bonus,wisp_cap),0)</f>
        <v>1000</v>
      </c>
      <c r="AD40" s="94">
        <f ca="1">OFFSET(TblConstr[[#This Row],[Tot Tow]],1,0)*(tower_mana + tech_4_5*TblTech[[#This Row],[4-5]]) + OFFSET(TblConstr[[#This Row],[Tot WG]],1,0)*wg_mana_prod</f>
        <v>0</v>
      </c>
      <c r="AE40" s="94">
        <f ca="1">OFFSET(TblConstr[[#This Row],[Tot OM]],1,0)*om_ore+IF(race="Dwarf",TblMili[[#This Row],[Unit 2]]*0.5,0)</f>
        <v>0</v>
      </c>
      <c r="AF40" s="94">
        <f ca="1">OFFSET(TblConstr[[#This Row],[Tot DM]],1,0)*dm_gems</f>
        <v>0</v>
      </c>
      <c r="AG40" s="142"/>
      <c r="AH40" s="156">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6">
        <f ca="1">race_lumber_bonus+ IF(TblMagic[[#This Row],[Active Gaia''s Blessing]]&gt;0,gaias_blessing_lumber)+ tech_1_3*TblTech[[#This Row],[1-3]] + tech_1_6*TblTech[[#This Row],[1-6]] + tech_3_3*TblTech[[#This Row],[3-3]]</f>
        <v>0</v>
      </c>
      <c r="AK40" s="156">
        <f ca="1">race_mana_bonus+ 0 + TblImps[[#This Row],[Spires]] + tech_1_2*TblTech[[#This Row],[1-2]] + tech_3_4*TblTech[[#This Row],[3-4]]</f>
        <v>0</v>
      </c>
      <c r="AL40" s="156">
        <f ca="1">race_ore_bonus + IF(TblMagic[[#This Row],[Active Miner''s Sight]]&gt;0,miners_sight_bonus,IF(TblMagic[[#This Row],[Active Mining Strength]]&gt;0,mining_strength_bonus)) +  tech_1_6*TblTech[[#This Row],[1-6]]</f>
        <v>0</v>
      </c>
      <c r="AM40" s="156">
        <f>race_gem_bonus+ tech_3_2*TblTech[[#This Row],[3-2]] + tech_4_3*TblTech[[#This Row],[4-3]] + tech_6_2*TblTech[[#This Row],[6-2]]</f>
        <v>0</v>
      </c>
      <c r="AN40" s="142"/>
      <c r="AO40" s="94">
        <f ca="1">TblProd[[#This Row],[Food]]*food_decay * (1 + tech_2_1*TblTech[[#This Row],[2-1]] + tech_2_8*TblTech[[#This Row],[2-8]] + IF(AND(TblMagic[[#This Row],[Active DnD]]&lt;12,TblMagic[[#This Row],[Active DnD]]&gt;5),1,0))</f>
        <v>829.36</v>
      </c>
      <c r="AP40" s="94">
        <f ca="1">(1+race_food_consumption)*TblPop[[#This Row],[Total]]*food_per_person*(1+tech_1_10*TblTech[[#This Row],[1-10]]+tech_7_5*TblTech[[#This Row],[7-5]] + IF(TblMagic[[#This Row],[Active Demonic Pact]]&gt;0,demonic_pact_food_cons,0))</f>
        <v>192.25</v>
      </c>
      <c r="AQ40" s="94">
        <f ca="1">TblProd[[#This Row],[Lumber]]*lumber_rot * (1 + tech_2_1*TblTech[[#This Row],[2-1]] + tech_2_8*TblTech[[#This Row],[2-8]] + tech_5_2*TblTech[[#This Row],[5-2]] + IF(AND(TblMagic[[#This Row],[Active DnD]]&lt;12,TblMagic[[#This Row],[Active DnD]]&gt;5),1,0))</f>
        <v>408.04</v>
      </c>
      <c r="AR40" s="94">
        <f ca="1">TblProd[[#This Row],[Mana]]*mana_drain * (1 + tech_2_1*TblTech[[#This Row],[2-1]] + tech_2_8*TblTech[[#This Row],[2-8]])</f>
        <v>0</v>
      </c>
      <c r="AS40" s="154"/>
      <c r="AT40" s="94">
        <f ca="1">TblExplore[[#This Row],[Platinum (2)]]+TblConstr[[#This Row],[Total Plat Cost]]+TblMili[[#This Row],[Plat Cost]]+TblRezone[[#This Row],[Platinum cost]]+TblImps[[#This Row],[P1]]-TblProd[[#This Row],[Bank Plat]]</f>
        <v>0</v>
      </c>
      <c r="AU40" s="94">
        <f ca="1">TblConstr[[#This Row],[Total Lum Cost]]+TblImps[[#This Row],[L1]]-TblProd[[#This Row],[Bank Lumber]] + Military!$CO$25*TblMili[[#This Row],[Sec. rec. Cost]]</f>
        <v>0</v>
      </c>
      <c r="AV40" s="94">
        <f ca="1">TblMagic[[#This Row],[Mana cost]] + Military!$CO$26*TblMili[[#This Row],[Sec. rec. Cost]]</f>
        <v>0</v>
      </c>
      <c r="AW40" s="94">
        <f ca="1">Military!$CO$24*TblMili[[#This Row],[Sec. rec. Cost]]+TblImps[[#This Row],[O1]]-TblProd[[#This Row],[Bank Ore]]</f>
        <v>0</v>
      </c>
      <c r="AX40" s="94">
        <f>TblImps[[#This Row],[G1]]-TblProd[[#This Row],[Bank Gems]]</f>
        <v>0</v>
      </c>
      <c r="AY40" s="142"/>
      <c r="AZ40" s="61" t="b">
        <f ca="1">IF(TblProd[[#This Row],[Set Guard]]&lt;&gt;"",TblProd[[#This Row],[Set Guard]],OFFSET(TblProd[[#This Row],[Guard]],-1,0))</f>
        <v>0</v>
      </c>
      <c r="BA40" s="153"/>
      <c r="BB40" s="45">
        <f>TblProd[[#This Row],[Hour]]</f>
        <v>37</v>
      </c>
      <c r="BC40" s="158">
        <f>-TblProd[[#This Row],[Bank Lumber]] / 2 + -TblProd[[#This Row],[Bank Gems]] * 2 + -TblProd[[#This Row],[Bank Ore]] / 2</f>
        <v>0</v>
      </c>
      <c r="BD40" s="158"/>
      <c r="BE40" s="158"/>
      <c r="BF40" s="158"/>
      <c r="BG40" s="159">
        <f ca="1">TblProd[[#This Row],[Time]]</f>
        <v>45816.499999999913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4">
        <f ca="1">TblProd[[#This Row],[Platinum]]</f>
        <v>158460</v>
      </c>
      <c r="BJ40" s="94">
        <f ca="1">TblProd[[#This Row],[Food]]</f>
        <v>82936</v>
      </c>
      <c r="BK40" s="94">
        <f ca="1">TblProd[[#This Row],[Lumber]]</f>
        <v>40804</v>
      </c>
      <c r="BL40" s="94">
        <f ca="1">TblProd[[#This Row],[Mana]]</f>
        <v>0</v>
      </c>
      <c r="BM40" s="94">
        <f ca="1">TblProd[[#This Row],[Ore]]</f>
        <v>0</v>
      </c>
    </row>
    <row r="41" spans="1:65" x14ac:dyDescent="0.2">
      <c r="A41" s="137">
        <v>38</v>
      </c>
      <c r="B41" s="152">
        <f ca="1">TblImps[[#This Row],[Time]]</f>
        <v>45816.541666666577</v>
      </c>
      <c r="C41" s="153"/>
      <c r="D41" s="154"/>
      <c r="E41" s="94">
        <f ca="1">TblConstr[[#This Row],[Land]]</f>
        <v>50</v>
      </c>
      <c r="F41" s="94">
        <f ca="1">TblPop[[#This Row],[Peasants]]</f>
        <v>325</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159345</v>
      </c>
      <c r="I41" s="94">
        <f ca="1">OFFSET(TblProd[[#This Row],[Food]],-1,0)+OFFSET(TblProd[[#This Row],[Food/hr]],-1,0)+ROUNDUP((TblConstr[[#This Row],[Farms]]*80+TblConstr[[#This Row],[Docks]]*35)*(1+OFFSET(TblProd[[#This Row],[Bonus Food/hr]],-1,0)),0)</f>
        <v>84494</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MAX(3750,_xlfn.CEILING.MATH(TblProd[[#This Row],[Land]]*2.5+OFFSET(TblTech[[#This Row],[Sum of tech]],-1,0)*150))</f>
        <v>3750</v>
      </c>
      <c r="R41" s="142"/>
      <c r="S41" s="94">
        <f ca="1">ROUNDDOWN(TblProd[[#This Row],[Raw Plat/hr]]*(1+TblProd[[#This Row],[Bonus Plat/hr]]),0)</f>
        <v>877</v>
      </c>
      <c r="T41" s="94">
        <f ca="1">ROUND(TblProd[[#This Row],[Raw Food/hr]]*(1+TblProd[[#This Row],[Bonus Food/hr]])-TblProd[[#This Row],[Food decay]]-TblProd[[#This Row],[Food eaten]],0)</f>
        <v>1543</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877.50000000000011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844.94</v>
      </c>
      <c r="AP41" s="94">
        <f ca="1">(1+race_food_consumption)*TblPop[[#This Row],[Total]]*food_per_person*(1+tech_1_10*TblTech[[#This Row],[1-10]]+tech_7_5*TblTech[[#This Row],[7-5]] + IF(TblMagic[[#This Row],[Active Demonic Pact]]&gt;0,demonic_pact_food_cons,0))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38</v>
      </c>
      <c r="BC41" s="158">
        <f>-TblProd[[#This Row],[Bank Lumber]] / 2 + -TblProd[[#This Row],[Bank Gems]] * 2 + -TblProd[[#This Row],[Bank Ore]] / 2</f>
        <v>0</v>
      </c>
      <c r="BD41" s="158"/>
      <c r="BE41" s="158"/>
      <c r="BF41" s="158"/>
      <c r="BG41" s="159">
        <f ca="1">TblProd[[#This Row],[Time]]</f>
        <v>45816.541666666577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159345</v>
      </c>
      <c r="BJ41" s="94">
        <f ca="1">TblProd[[#This Row],[Food]]</f>
        <v>84494</v>
      </c>
      <c r="BK41" s="94">
        <f ca="1">TblProd[[#This Row],[Lumber]]</f>
        <v>41396</v>
      </c>
      <c r="BL41" s="94">
        <f ca="1">TblProd[[#This Row],[Mana]]</f>
        <v>0</v>
      </c>
      <c r="BM41" s="94">
        <f ca="1">TblProd[[#This Row],[Ore]]</f>
        <v>0</v>
      </c>
    </row>
    <row r="42" spans="1:65" x14ac:dyDescent="0.2">
      <c r="A42" s="137">
        <v>39</v>
      </c>
      <c r="B42" s="152">
        <f ca="1">TblImps[[#This Row],[Time]]</f>
        <v>45816.583333333241</v>
      </c>
      <c r="C42" s="153"/>
      <c r="D42" s="154"/>
      <c r="E42" s="94">
        <f ca="1">TblConstr[[#This Row],[Land]]</f>
        <v>50</v>
      </c>
      <c r="F42" s="94">
        <f ca="1">TblPop[[#This Row],[Peasants]]</f>
        <v>322</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160222</v>
      </c>
      <c r="I42" s="94">
        <f ca="1">OFFSET(TblProd[[#This Row],[Food]],-1,0)+OFFSET(TblProd[[#This Row],[Food/hr]],-1,0)+ROUNDUP((TblConstr[[#This Row],[Farms]]*80+TblConstr[[#This Row],[Docks]]*35)*(1+OFFSET(TblProd[[#This Row],[Bonus Food/hr]],-1,0)),0)</f>
        <v>86037</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MAX(3750,_xlfn.CEILING.MATH(TblProd[[#This Row],[Land]]*2.5+OFFSET(TblTech[[#This Row],[Sum of tech]],-1,0)*150))</f>
        <v>3750</v>
      </c>
      <c r="R42" s="142"/>
      <c r="S42" s="94">
        <f ca="1">ROUNDDOWN(TblProd[[#This Row],[Raw Plat/hr]]*(1+TblProd[[#This Row],[Bonus Plat/hr]]),0)</f>
        <v>869</v>
      </c>
      <c r="T42" s="94">
        <f ca="1">ROUND(TblProd[[#This Row],[Raw Food/hr]]*(1+TblProd[[#This Row],[Bonus Food/hr]])-TblProd[[#This Row],[Food decay]]-TblProd[[#This Row],[Food eaten]],0)</f>
        <v>1527</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869.40000000000009</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860.37</v>
      </c>
      <c r="AP42" s="94">
        <f ca="1">(1+race_food_consumption)*TblPop[[#This Row],[Total]]*food_per_person*(1+tech_1_10*TblTech[[#This Row],[1-10]]+tech_7_5*TblTech[[#This Row],[7-5]] + IF(TblMagic[[#This Row],[Active Demonic Pact]]&gt;0,demonic_pact_food_cons,0))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39</v>
      </c>
      <c r="BC42" s="158">
        <f>-TblProd[[#This Row],[Bank Lumber]] / 2 + -TblProd[[#This Row],[Bank Gems]] * 2 + -TblProd[[#This Row],[Bank Ore]] / 2</f>
        <v>0</v>
      </c>
      <c r="BD42" s="158"/>
      <c r="BE42" s="158"/>
      <c r="BF42" s="158"/>
      <c r="BG42" s="159">
        <f ca="1">TblProd[[#This Row],[Time]]</f>
        <v>45816.583333333241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160222</v>
      </c>
      <c r="BJ42" s="94">
        <f ca="1">TblProd[[#This Row],[Food]]</f>
        <v>86037</v>
      </c>
      <c r="BK42" s="94">
        <f ca="1">TblProd[[#This Row],[Lumber]]</f>
        <v>41982</v>
      </c>
      <c r="BL42" s="94">
        <f ca="1">TblProd[[#This Row],[Mana]]</f>
        <v>0</v>
      </c>
      <c r="BM42" s="94">
        <f ca="1">TblProd[[#This Row],[Ore]]</f>
        <v>0</v>
      </c>
    </row>
    <row r="43" spans="1:65" x14ac:dyDescent="0.2">
      <c r="A43" s="137">
        <v>40</v>
      </c>
      <c r="B43" s="152">
        <f ca="1">TblImps[[#This Row],[Time]]</f>
        <v>45816.624999999905</v>
      </c>
      <c r="C43" s="153"/>
      <c r="D43" s="154"/>
      <c r="E43" s="94">
        <f ca="1">TblConstr[[#This Row],[Land]]</f>
        <v>50</v>
      </c>
      <c r="F43" s="94">
        <f ca="1">TblPop[[#This Row],[Peasants]]</f>
        <v>319</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161091</v>
      </c>
      <c r="I43" s="94">
        <f ca="1">OFFSET(TblProd[[#This Row],[Food]],-1,0)+OFFSET(TblProd[[#This Row],[Food/hr]],-1,0)+ROUNDUP((TblConstr[[#This Row],[Farms]]*80+TblConstr[[#This Row],[Docks]]*35)*(1+OFFSET(TblProd[[#This Row],[Bonus Food/hr]],-1,0)),0)</f>
        <v>87564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MAX(3750,_xlfn.CEILING.MATH(TblProd[[#This Row],[Land]]*2.5+OFFSET(TblTech[[#This Row],[Sum of tech]],-1,0)*150))</f>
        <v>3750</v>
      </c>
      <c r="R43" s="142"/>
      <c r="S43" s="94">
        <f ca="1">ROUNDDOWN(TblProd[[#This Row],[Raw Plat/hr]]*(1+TblProd[[#This Row],[Bonus Plat/hr]]),0)</f>
        <v>861</v>
      </c>
      <c r="T43" s="94">
        <f ca="1">ROUND(TblProd[[#This Row],[Raw Food/hr]]*(1+TblProd[[#This Row],[Bonus Food/hr]])-TblProd[[#This Row],[Food decay]]-TblProd[[#This Row],[Food eaten]],0)</f>
        <v>1512</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861.30000000000007</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875.64</v>
      </c>
      <c r="AP43" s="94">
        <f ca="1">(1+race_food_consumption)*TblPop[[#This Row],[Total]]*food_per_person*(1+tech_1_10*TblTech[[#This Row],[1-10]]+tech_7_5*TblTech[[#This Row],[7-5]] + IF(TblMagic[[#This Row],[Active Demonic Pact]]&gt;0,demonic_pact_food_cons,0))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40</v>
      </c>
      <c r="BC43" s="158">
        <f>-TblProd[[#This Row],[Bank Lumber]] / 2 + -TblProd[[#This Row],[Bank Gems]] * 2 + -TblProd[[#This Row],[Bank Ore]] / 2</f>
        <v>0</v>
      </c>
      <c r="BD43" s="158"/>
      <c r="BE43" s="158"/>
      <c r="BF43" s="158"/>
      <c r="BG43" s="159">
        <f ca="1">TblProd[[#This Row],[Time]]</f>
        <v>45816.624999999905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161091</v>
      </c>
      <c r="BJ43" s="94">
        <f ca="1">TblProd[[#This Row],[Food]]</f>
        <v>87564</v>
      </c>
      <c r="BK43" s="94">
        <f ca="1">TblProd[[#This Row],[Lumber]]</f>
        <v>42562</v>
      </c>
      <c r="BL43" s="94">
        <f ca="1">TblProd[[#This Row],[Mana]]</f>
        <v>0</v>
      </c>
      <c r="BM43" s="94">
        <f ca="1">TblProd[[#This Row],[Ore]]</f>
        <v>0</v>
      </c>
    </row>
    <row r="44" spans="1:65" x14ac:dyDescent="0.2">
      <c r="A44" s="137">
        <v>41</v>
      </c>
      <c r="B44" s="152">
        <f ca="1">TblImps[[#This Row],[Time]]</f>
        <v>45816.66666666657</v>
      </c>
      <c r="C44" s="153"/>
      <c r="D44" s="154"/>
      <c r="E44" s="94">
        <f ca="1">TblConstr[[#This Row],[Land]]</f>
        <v>50</v>
      </c>
      <c r="F44" s="94">
        <f ca="1">TblPop[[#This Row],[Peasants]]</f>
        <v>316</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161952</v>
      </c>
      <c r="I44" s="94">
        <f ca="1">OFFSET(TblProd[[#This Row],[Food]],-1,0)+OFFSET(TblProd[[#This Row],[Food/hr]],-1,0)+ROUNDUP((TblConstr[[#This Row],[Farms]]*80+TblConstr[[#This Row],[Docks]]*35)*(1+OFFSET(TblProd[[#This Row],[Bonus Food/hr]],-1,0)),0)</f>
        <v>89076</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MAX(3750,_xlfn.CEILING.MATH(TblProd[[#This Row],[Land]]*2.5+OFFSET(TblTech[[#This Row],[Sum of tech]],-1,0)*150))</f>
        <v>3750</v>
      </c>
      <c r="R44" s="142"/>
      <c r="S44" s="94">
        <f ca="1">ROUNDDOWN(TblProd[[#This Row],[Raw Plat/hr]]*(1+TblProd[[#This Row],[Bonus Plat/hr]]),0)</f>
        <v>853</v>
      </c>
      <c r="T44" s="94">
        <f ca="1">ROUND(TblProd[[#This Row],[Raw Food/hr]]*(1+TblProd[[#This Row],[Bonus Food/hr]])-TblProd[[#This Row],[Food decay]]-TblProd[[#This Row],[Food eaten]],0)</f>
        <v>1497</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853.2</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890.76</v>
      </c>
      <c r="AP44" s="94">
        <f ca="1">(1+race_food_consumption)*TblPop[[#This Row],[Total]]*food_per_person*(1+tech_1_10*TblTech[[#This Row],[1-10]]+tech_7_5*TblTech[[#This Row],[7-5]] + IF(TblMagic[[#This Row],[Active Demonic Pact]]&gt;0,demonic_pact_food_cons,0))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41</v>
      </c>
      <c r="BC44" s="158">
        <f>-TblProd[[#This Row],[Bank Lumber]] / 2 + -TblProd[[#This Row],[Bank Gems]] * 2 + -TblProd[[#This Row],[Bank Ore]] / 2</f>
        <v>0</v>
      </c>
      <c r="BD44" s="158"/>
      <c r="BE44" s="158"/>
      <c r="BF44" s="158"/>
      <c r="BG44" s="159">
        <f ca="1">TblProd[[#This Row],[Time]]</f>
        <v>45816.66666666657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161952</v>
      </c>
      <c r="BJ44" s="94">
        <f ca="1">TblProd[[#This Row],[Food]]</f>
        <v>89076</v>
      </c>
      <c r="BK44" s="94">
        <f ca="1">TblProd[[#This Row],[Lumber]]</f>
        <v>43136</v>
      </c>
      <c r="BL44" s="94">
        <f ca="1">TblProd[[#This Row],[Mana]]</f>
        <v>0</v>
      </c>
      <c r="BM44" s="94">
        <f ca="1">TblProd[[#This Row],[Ore]]</f>
        <v>0</v>
      </c>
    </row>
    <row r="45" spans="1:65" x14ac:dyDescent="0.2">
      <c r="A45" s="137">
        <v>42</v>
      </c>
      <c r="B45" s="152">
        <f ca="1">TblImps[[#This Row],[Time]]</f>
        <v>45816.708333333234</v>
      </c>
      <c r="C45" s="153"/>
      <c r="D45" s="154"/>
      <c r="E45" s="94">
        <f ca="1">TblConstr[[#This Row],[Land]]</f>
        <v>50</v>
      </c>
      <c r="F45" s="94">
        <f ca="1">TblPop[[#This Row],[Peasants]]</f>
        <v>313</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162805</v>
      </c>
      <c r="I45" s="94">
        <f ca="1">OFFSET(TblProd[[#This Row],[Food]],-1,0)+OFFSET(TblProd[[#This Row],[Food/hr]],-1,0)+ROUNDUP((TblConstr[[#This Row],[Farms]]*80+TblConstr[[#This Row],[Docks]]*35)*(1+OFFSET(TblProd[[#This Row],[Bonus Food/hr]],-1,0)),0)</f>
        <v>90573</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MAX(3750,_xlfn.CEILING.MATH(TblProd[[#This Row],[Land]]*2.5+OFFSET(TblTech[[#This Row],[Sum of tech]],-1,0)*150))</f>
        <v>3750</v>
      </c>
      <c r="R45" s="142"/>
      <c r="S45" s="94">
        <f ca="1">ROUNDDOWN(TblProd[[#This Row],[Raw Plat/hr]]*(1+TblProd[[#This Row],[Bonus Plat/hr]]),0)</f>
        <v>845</v>
      </c>
      <c r="T45" s="94">
        <f ca="1">ROUND(TblProd[[#This Row],[Raw Food/hr]]*(1+TblProd[[#This Row],[Bonus Food/hr]])-TblProd[[#This Row],[Food decay]]-TblProd[[#This Row],[Food eaten]],0)</f>
        <v>1482</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845.1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905.73</v>
      </c>
      <c r="AP45" s="94">
        <f ca="1">(1+race_food_consumption)*TblPop[[#This Row],[Total]]*food_per_person*(1+tech_1_10*TblTech[[#This Row],[1-10]]+tech_7_5*TblTech[[#This Row],[7-5]] + IF(TblMagic[[#This Row],[Active Demonic Pact]]&gt;0,demonic_pact_food_cons,0))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42</v>
      </c>
      <c r="BC45" s="158">
        <f>-TblProd[[#This Row],[Bank Lumber]] / 2 + -TblProd[[#This Row],[Bank Gems]] * 2 + -TblProd[[#This Row],[Bank Ore]] / 2</f>
        <v>0</v>
      </c>
      <c r="BD45" s="158"/>
      <c r="BE45" s="158"/>
      <c r="BF45" s="158"/>
      <c r="BG45" s="159">
        <f ca="1">TblProd[[#This Row],[Time]]</f>
        <v>45816.708333333234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162805</v>
      </c>
      <c r="BJ45" s="94">
        <f ca="1">TblProd[[#This Row],[Food]]</f>
        <v>90573</v>
      </c>
      <c r="BK45" s="94">
        <f ca="1">TblProd[[#This Row],[Lumber]]</f>
        <v>43705</v>
      </c>
      <c r="BL45" s="94">
        <f ca="1">TblProd[[#This Row],[Mana]]</f>
        <v>0</v>
      </c>
      <c r="BM45" s="94">
        <f ca="1">TblProd[[#This Row],[Ore]]</f>
        <v>0</v>
      </c>
    </row>
    <row r="46" spans="1:65" x14ac:dyDescent="0.2">
      <c r="A46" s="137">
        <v>43</v>
      </c>
      <c r="B46" s="152">
        <f ca="1">TblImps[[#This Row],[Time]]</f>
        <v>45816.749999999898</v>
      </c>
      <c r="C46" s="153"/>
      <c r="D46" s="154"/>
      <c r="E46" s="94">
        <f ca="1">TblConstr[[#This Row],[Land]]</f>
        <v>50</v>
      </c>
      <c r="F46" s="94">
        <f ca="1">TblPop[[#This Row],[Peasants]]</f>
        <v>310</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163650</v>
      </c>
      <c r="I46" s="94">
        <f ca="1">OFFSET(TblProd[[#This Row],[Food]],-1,0)+OFFSET(TblProd[[#This Row],[Food/hr]],-1,0)+ROUNDUP((TblConstr[[#This Row],[Farms]]*80+TblConstr[[#This Row],[Docks]]*35)*(1+OFFSET(TblProd[[#This Row],[Bonus Food/hr]],-1,0)),0)</f>
        <v>92055</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MAX(3750,_xlfn.CEILING.MATH(TblProd[[#This Row],[Land]]*2.5+OFFSET(TblTech[[#This Row],[Sum of tech]],-1,0)*150))</f>
        <v>3750</v>
      </c>
      <c r="R46" s="142"/>
      <c r="S46" s="94">
        <f ca="1">ROUNDDOWN(TblProd[[#This Row],[Raw Plat/hr]]*(1+TblProd[[#This Row],[Bonus Plat/hr]]),0)</f>
        <v>837</v>
      </c>
      <c r="T46" s="94">
        <f ca="1">ROUND(TblProd[[#This Row],[Raw Food/hr]]*(1+TblProd[[#This Row],[Bonus Food/hr]])-TblProd[[#This Row],[Food decay]]-TblProd[[#This Row],[Food eaten]],0)</f>
        <v>1467</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837</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920.55000000000007</v>
      </c>
      <c r="AP46" s="94">
        <f ca="1">(1+race_food_consumption)*TblPop[[#This Row],[Total]]*food_per_person*(1+tech_1_10*TblTech[[#This Row],[1-10]]+tech_7_5*TblTech[[#This Row],[7-5]] + IF(TblMagic[[#This Row],[Active Demonic Pact]]&gt;0,demonic_pact_food_cons,0))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43</v>
      </c>
      <c r="BC46" s="158">
        <f>-TblProd[[#This Row],[Bank Lumber]] / 2 + -TblProd[[#This Row],[Bank Gems]] * 2 + -TblProd[[#This Row],[Bank Ore]] / 2</f>
        <v>0</v>
      </c>
      <c r="BD46" s="158"/>
      <c r="BE46" s="158"/>
      <c r="BF46" s="158"/>
      <c r="BG46" s="159">
        <f ca="1">TblProd[[#This Row],[Time]]</f>
        <v>45816.749999999898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163650</v>
      </c>
      <c r="BJ46" s="94">
        <f ca="1">TblProd[[#This Row],[Food]]</f>
        <v>92055</v>
      </c>
      <c r="BK46" s="94">
        <f ca="1">TblProd[[#This Row],[Lumber]]</f>
        <v>44268</v>
      </c>
      <c r="BL46" s="94">
        <f ca="1">TblProd[[#This Row],[Mana]]</f>
        <v>0</v>
      </c>
      <c r="BM46" s="94">
        <f ca="1">TblProd[[#This Row],[Ore]]</f>
        <v>0</v>
      </c>
    </row>
    <row r="47" spans="1:65" x14ac:dyDescent="0.2">
      <c r="A47" s="137">
        <v>44</v>
      </c>
      <c r="B47" s="152">
        <f ca="1">TblImps[[#This Row],[Time]]</f>
        <v>45816.791666666562</v>
      </c>
      <c r="C47" s="153"/>
      <c r="D47" s="154"/>
      <c r="E47" s="94">
        <f ca="1">TblConstr[[#This Row],[Land]]</f>
        <v>50</v>
      </c>
      <c r="F47" s="94">
        <f ca="1">TblPop[[#This Row],[Peasants]]</f>
        <v>307</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164487</v>
      </c>
      <c r="I47" s="94">
        <f ca="1">OFFSET(TblProd[[#This Row],[Food]],-1,0)+OFFSET(TblProd[[#This Row],[Food/hr]],-1,0)+ROUNDUP((TblConstr[[#This Row],[Farms]]*80+TblConstr[[#This Row],[Docks]]*35)*(1+OFFSET(TblProd[[#This Row],[Bonus Food/hr]],-1,0)),0)</f>
        <v>93522</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MAX(3750,_xlfn.CEILING.MATH(TblProd[[#This Row],[Land]]*2.5+OFFSET(TblTech[[#This Row],[Sum of tech]],-1,0)*150))</f>
        <v>3750</v>
      </c>
      <c r="R47" s="142"/>
      <c r="S47" s="94">
        <f ca="1">ROUNDDOWN(TblProd[[#This Row],[Raw Plat/hr]]*(1+TblProd[[#This Row],[Bonus Plat/hr]]),0)</f>
        <v>828</v>
      </c>
      <c r="T47" s="94">
        <f ca="1">ROUND(TblProd[[#This Row],[Raw Food/hr]]*(1+TblProd[[#This Row],[Bonus Food/hr]])-TblProd[[#This Row],[Food decay]]-TblProd[[#This Row],[Food eaten]],0)</f>
        <v>1453</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828.90000000000009</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935.22</v>
      </c>
      <c r="AP47" s="94">
        <f ca="1">(1+race_food_consumption)*TblPop[[#This Row],[Total]]*food_per_person*(1+tech_1_10*TblTech[[#This Row],[1-10]]+tech_7_5*TblTech[[#This Row],[7-5]] + IF(TblMagic[[#This Row],[Active Demonic Pact]]&gt;0,demonic_pact_food_cons,0))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44</v>
      </c>
      <c r="BC47" s="158">
        <f>-TblProd[[#This Row],[Bank Lumber]] / 2 + -TblProd[[#This Row],[Bank Gems]] * 2 + -TblProd[[#This Row],[Bank Ore]] / 2</f>
        <v>0</v>
      </c>
      <c r="BD47" s="158"/>
      <c r="BE47" s="158"/>
      <c r="BF47" s="158"/>
      <c r="BG47" s="159">
        <f ca="1">TblProd[[#This Row],[Time]]</f>
        <v>45816.791666666562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164487</v>
      </c>
      <c r="BJ47" s="94">
        <f ca="1">TblProd[[#This Row],[Food]]</f>
        <v>93522</v>
      </c>
      <c r="BK47" s="94">
        <f ca="1">TblProd[[#This Row],[Lumber]]</f>
        <v>44825</v>
      </c>
      <c r="BL47" s="94">
        <f ca="1">TblProd[[#This Row],[Mana]]</f>
        <v>0</v>
      </c>
      <c r="BM47" s="94">
        <f ca="1">TblProd[[#This Row],[Ore]]</f>
        <v>0</v>
      </c>
    </row>
    <row r="48" spans="1:65" x14ac:dyDescent="0.2">
      <c r="A48" s="137">
        <v>45</v>
      </c>
      <c r="B48" s="152">
        <f ca="1">TblImps[[#This Row],[Time]]</f>
        <v>45816.833333333227</v>
      </c>
      <c r="C48" s="153"/>
      <c r="D48" s="154"/>
      <c r="E48" s="94">
        <f ca="1">TblConstr[[#This Row],[Land]]</f>
        <v>50</v>
      </c>
      <c r="F48" s="94">
        <f ca="1">TblPop[[#This Row],[Peasants]]</f>
        <v>304</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165315</v>
      </c>
      <c r="I48" s="94">
        <f ca="1">OFFSET(TblProd[[#This Row],[Food]],-1,0)+OFFSET(TblProd[[#This Row],[Food/hr]],-1,0)+ROUNDUP((TblConstr[[#This Row],[Farms]]*80+TblConstr[[#This Row],[Docks]]*35)*(1+OFFSET(TblProd[[#This Row],[Bonus Food/hr]],-1,0)),0)</f>
        <v>94975</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MAX(3750,_xlfn.CEILING.MATH(TblProd[[#This Row],[Land]]*2.5+OFFSET(TblTech[[#This Row],[Sum of tech]],-1,0)*150))</f>
        <v>3750</v>
      </c>
      <c r="R48" s="142"/>
      <c r="S48" s="94">
        <f ca="1">ROUNDDOWN(TblProd[[#This Row],[Raw Plat/hr]]*(1+TblProd[[#This Row],[Bonus Plat/hr]]),0)</f>
        <v>820</v>
      </c>
      <c r="T48" s="94">
        <f ca="1">ROUND(TblProd[[#This Row],[Raw Food/hr]]*(1+TblProd[[#This Row],[Bonus Food/hr]])-TblProd[[#This Row],[Food decay]]-TblProd[[#This Row],[Food eaten]],0)</f>
        <v>1438</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820.80000000000007</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949.75</v>
      </c>
      <c r="AP48" s="94">
        <f ca="1">(1+race_food_consumption)*TblPop[[#This Row],[Total]]*food_per_person*(1+tech_1_10*TblTech[[#This Row],[1-10]]+tech_7_5*TblTech[[#This Row],[7-5]] + IF(TblMagic[[#This Row],[Active Demonic Pact]]&gt;0,demonic_pact_food_cons,0))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45</v>
      </c>
      <c r="BC48" s="158">
        <f>-TblProd[[#This Row],[Bank Lumber]] / 2 + -TblProd[[#This Row],[Bank Gems]] * 2 + -TblProd[[#This Row],[Bank Ore]] / 2</f>
        <v>0</v>
      </c>
      <c r="BD48" s="158"/>
      <c r="BE48" s="158"/>
      <c r="BF48" s="158"/>
      <c r="BG48" s="159">
        <f ca="1">TblProd[[#This Row],[Time]]</f>
        <v>45816.833333333227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165315</v>
      </c>
      <c r="BJ48" s="94">
        <f ca="1">TblProd[[#This Row],[Food]]</f>
        <v>94975</v>
      </c>
      <c r="BK48" s="94">
        <f ca="1">TblProd[[#This Row],[Lumber]]</f>
        <v>45377</v>
      </c>
      <c r="BL48" s="94">
        <f ca="1">TblProd[[#This Row],[Mana]]</f>
        <v>0</v>
      </c>
      <c r="BM48" s="94">
        <f ca="1">TblProd[[#This Row],[Ore]]</f>
        <v>0</v>
      </c>
    </row>
    <row r="49" spans="1:65" x14ac:dyDescent="0.2">
      <c r="A49" s="137">
        <v>46</v>
      </c>
      <c r="B49" s="152">
        <f ca="1">TblImps[[#This Row],[Time]]</f>
        <v>45816.874999999891</v>
      </c>
      <c r="C49" s="153"/>
      <c r="D49" s="154"/>
      <c r="E49" s="94">
        <f ca="1">TblConstr[[#This Row],[Land]]</f>
        <v>50</v>
      </c>
      <c r="F49" s="94">
        <f ca="1">TblPop[[#This Row],[Peasants]]</f>
        <v>301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166135</v>
      </c>
      <c r="I49" s="94">
        <f ca="1">OFFSET(TblProd[[#This Row],[Food]],-1,0)+OFFSET(TblProd[[#This Row],[Food/hr]],-1,0)+ROUNDUP((TblConstr[[#This Row],[Farms]]*80+TblConstr[[#This Row],[Docks]]*35)*(1+OFFSET(TblProd[[#This Row],[Bonus Food/hr]],-1,0)),0)</f>
        <v>96413</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MAX(3750,_xlfn.CEILING.MATH(TblProd[[#This Row],[Land]]*2.5+OFFSET(TblTech[[#This Row],[Sum of tech]],-1,0)*150))</f>
        <v>3750</v>
      </c>
      <c r="R49" s="142"/>
      <c r="S49" s="94">
        <f ca="1">ROUNDDOWN(TblProd[[#This Row],[Raw Plat/hr]]*(1+TblProd[[#This Row],[Bonus Plat/hr]]),0)</f>
        <v>812</v>
      </c>
      <c r="T49" s="94">
        <f ca="1">ROUND(TblProd[[#This Row],[Raw Food/hr]]*(1+TblProd[[#This Row],[Bonus Food/hr]])-TblProd[[#This Row],[Food decay]]-TblProd[[#This Row],[Food eaten]],0)</f>
        <v>1424</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812.7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964.13</v>
      </c>
      <c r="AP49" s="94">
        <f ca="1">(1+race_food_consumption)*TblPop[[#This Row],[Total]]*food_per_person*(1+tech_1_10*TblTech[[#This Row],[1-10]]+tech_7_5*TblTech[[#This Row],[7-5]] + IF(TblMagic[[#This Row],[Active Demonic Pact]]&gt;0,demonic_pact_food_cons,0))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46</v>
      </c>
      <c r="BC49" s="158">
        <f>-TblProd[[#This Row],[Bank Lumber]] / 2 + -TblProd[[#This Row],[Bank Gems]] * 2 + -TblProd[[#This Row],[Bank Ore]] / 2</f>
        <v>0</v>
      </c>
      <c r="BD49" s="158"/>
      <c r="BE49" s="158"/>
      <c r="BF49" s="158"/>
      <c r="BG49" s="159">
        <f ca="1">TblProd[[#This Row],[Time]]</f>
        <v>45816.874999999891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166135</v>
      </c>
      <c r="BJ49" s="94">
        <f ca="1">TblProd[[#This Row],[Food]]</f>
        <v>96413</v>
      </c>
      <c r="BK49" s="94">
        <f ca="1">TblProd[[#This Row],[Lumber]]</f>
        <v>45923</v>
      </c>
      <c r="BL49" s="94">
        <f ca="1">TblProd[[#This Row],[Mana]]</f>
        <v>0</v>
      </c>
      <c r="BM49" s="94">
        <f ca="1">TblProd[[#This Row],[Ore]]</f>
        <v>0</v>
      </c>
    </row>
    <row r="50" spans="1:65" x14ac:dyDescent="0.2">
      <c r="A50" s="137">
        <v>47</v>
      </c>
      <c r="B50" s="152">
        <f ca="1">TblImps[[#This Row],[Time]]</f>
        <v>45816.916666666555</v>
      </c>
      <c r="C50" s="153"/>
      <c r="D50" s="154"/>
      <c r="E50" s="94">
        <f ca="1">TblConstr[[#This Row],[Land]]</f>
        <v>50</v>
      </c>
      <c r="F50" s="94">
        <f ca="1">TblPop[[#This Row],[Peasants]]</f>
        <v>298</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166947</v>
      </c>
      <c r="I50" s="94">
        <f ca="1">OFFSET(TblProd[[#This Row],[Food]],-1,0)+OFFSET(TblProd[[#This Row],[Food/hr]],-1,0)+ROUNDUP((TblConstr[[#This Row],[Farms]]*80+TblConstr[[#This Row],[Docks]]*35)*(1+OFFSET(TblProd[[#This Row],[Bonus Food/hr]],-1,0)),0)</f>
        <v>97837</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MAX(3750,_xlfn.CEILING.MATH(TblProd[[#This Row],[Land]]*2.5+OFFSET(TblTech[[#This Row],[Sum of tech]],-1,0)*150))</f>
        <v>3750</v>
      </c>
      <c r="R50" s="142"/>
      <c r="S50" s="94">
        <f ca="1">ROUNDDOWN(TblProd[[#This Row],[Raw Plat/hr]]*(1+TblProd[[#This Row],[Bonus Plat/hr]]),0)</f>
        <v>804</v>
      </c>
      <c r="T50" s="94">
        <f ca="1">ROUND(TblProd[[#This Row],[Raw Food/hr]]*(1+TblProd[[#This Row],[Bonus Food/hr]])-TblProd[[#This Row],[Food decay]]-TblProd[[#This Row],[Food eaten]],0)</f>
        <v>1409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804.6</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978.37</v>
      </c>
      <c r="AP50" s="94">
        <f ca="1">(1+race_food_consumption)*TblPop[[#This Row],[Total]]*food_per_person*(1+tech_1_10*TblTech[[#This Row],[1-10]]+tech_7_5*TblTech[[#This Row],[7-5]] + IF(TblMagic[[#This Row],[Active Demonic Pact]]&gt;0,demonic_pact_food_cons,0))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47</v>
      </c>
      <c r="BC50" s="158">
        <f>-TblProd[[#This Row],[Bank Lumber]] / 2 + -TblProd[[#This Row],[Bank Gems]] * 2 + -TblProd[[#This Row],[Bank Ore]] / 2</f>
        <v>0</v>
      </c>
      <c r="BD50" s="158"/>
      <c r="BE50" s="158"/>
      <c r="BF50" s="158"/>
      <c r="BG50" s="159">
        <f ca="1">TblProd[[#This Row],[Time]]</f>
        <v>45816.916666666555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166947</v>
      </c>
      <c r="BJ50" s="94">
        <f ca="1">TblProd[[#This Row],[Food]]</f>
        <v>97837</v>
      </c>
      <c r="BK50" s="94">
        <f ca="1">TblProd[[#This Row],[Lumber]]</f>
        <v>46464</v>
      </c>
      <c r="BL50" s="94">
        <f ca="1">TblProd[[#This Row],[Mana]]</f>
        <v>0</v>
      </c>
      <c r="BM50" s="94">
        <f ca="1">TblProd[[#This Row],[Ore]]</f>
        <v>0</v>
      </c>
    </row>
    <row r="51" spans="1:65" x14ac:dyDescent="0.2">
      <c r="A51" s="137">
        <v>48</v>
      </c>
      <c r="B51" s="152">
        <f ca="1">TblImps[[#This Row],[Time]]</f>
        <v>45816.958333333219</v>
      </c>
      <c r="C51" s="153"/>
      <c r="D51" s="154"/>
      <c r="E51" s="94">
        <f ca="1">TblConstr[[#This Row],[Land]]</f>
        <v>50</v>
      </c>
      <c r="F51" s="94">
        <f ca="1">TblPop[[#This Row],[Peasants]]</f>
        <v>295</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167751</v>
      </c>
      <c r="I51" s="94">
        <f ca="1">OFFSET(TblProd[[#This Row],[Food]],-1,0)+OFFSET(TblProd[[#This Row],[Food/hr]],-1,0)+ROUNDUP((TblConstr[[#This Row],[Farms]]*80+TblConstr[[#This Row],[Docks]]*35)*(1+OFFSET(TblProd[[#This Row],[Bonus Food/hr]],-1,0)),0)</f>
        <v>99246</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MAX(3750,_xlfn.CEILING.MATH(TblProd[[#This Row],[Land]]*2.5+OFFSET(TblTech[[#This Row],[Sum of tech]],-1,0)*150))</f>
        <v>3750</v>
      </c>
      <c r="R51" s="142"/>
      <c r="S51" s="94">
        <f ca="1">ROUNDDOWN(TblProd[[#This Row],[Raw Plat/hr]]*(1+TblProd[[#This Row],[Bonus Plat/hr]]),0)</f>
        <v>796</v>
      </c>
      <c r="T51" s="94">
        <f ca="1">ROUND(TblProd[[#This Row],[Raw Food/hr]]*(1+TblProd[[#This Row],[Bonus Food/hr]])-TblProd[[#This Row],[Food decay]]-TblProd[[#This Row],[Food eaten]],0)</f>
        <v>1395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796.5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992.46</v>
      </c>
      <c r="AP51" s="94">
        <f ca="1">(1+race_food_consumption)*TblPop[[#This Row],[Total]]*food_per_person*(1+tech_1_10*TblTech[[#This Row],[1-10]]+tech_7_5*TblTech[[#This Row],[7-5]] + IF(TblMagic[[#This Row],[Active Demonic Pact]]&gt;0,demonic_pact_food_cons,0))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48</v>
      </c>
      <c r="BC51" s="158">
        <f>-TblProd[[#This Row],[Bank Lumber]] / 2 + -TblProd[[#This Row],[Bank Gems]] * 2 + -TblProd[[#This Row],[Bank Ore]] / 2</f>
        <v>0</v>
      </c>
      <c r="BD51" s="158"/>
      <c r="BE51" s="158"/>
      <c r="BF51" s="158"/>
      <c r="BG51" s="159">
        <f ca="1">TblProd[[#This Row],[Time]]</f>
        <v>45816.958333333219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167751</v>
      </c>
      <c r="BJ51" s="94">
        <f ca="1">TblProd[[#This Row],[Food]]</f>
        <v>99246</v>
      </c>
      <c r="BK51" s="94">
        <f ca="1">TblProd[[#This Row],[Lumber]]</f>
        <v>46999</v>
      </c>
      <c r="BL51" s="94">
        <f ca="1">TblProd[[#This Row],[Mana]]</f>
        <v>0</v>
      </c>
      <c r="BM51" s="94">
        <f ca="1">TblProd[[#This Row],[Ore]]</f>
        <v>0</v>
      </c>
    </row>
    <row r="52" spans="1:65" s="5" customFormat="1" x14ac:dyDescent="0.2">
      <c r="A52" s="144" t="s">
        <v>229</v>
      </c>
      <c r="B52" s="160">
        <f ca="1">TblImps[[#This Row],[Time]]</f>
        <v>45816.999999999884</v>
      </c>
      <c r="C52" s="161"/>
      <c r="D52" s="162"/>
      <c r="E52" s="35">
        <f ca="1">TblConstr[[#This Row],[Land]]</f>
        <v>50</v>
      </c>
      <c r="F52" s="35">
        <f ca="1">TblPop[[#This Row],[Peasants]]</f>
        <v>292</v>
      </c>
      <c r="G52" s="35">
        <f ca="1">TblMili[[#This Row],[Networth (2)]]</f>
        <v>1250</v>
      </c>
      <c r="H52" s="35">
        <f ca="1">OFFSET(TblProd[[#This Row],[Platinum]],-1,0)+OFFSET(TblProd[[#This Row],[Plat/hr]],-1,0) - TblProd[[#This Row],[Expenses Platinum]] + IF(TblProd[[#This Row],[Plat Bonus]],TblPop[[#This Row],[Peasants]]*4) + SUM(TblConstr[[#This Row],[Dest Hom]:[Dest Doc]])*TblConstr[[#This Row],[CPA Platinum -DB]]*tech_3_3_2*TblTech[[#This Row],[3-3]]</f>
        <v>168547</v>
      </c>
      <c r="I52" s="35">
        <f ca="1">OFFSET(TblProd[[#This Row],[Food]],-1,0)+OFFSET(TblProd[[#This Row],[Food/hr]],-1,0)+ROUNDUP((TblConstr[[#This Row],[Farms]]*80+TblConstr[[#This Row],[Docks]]*35)*(1+OFFSET(TblProd[[#This Row],[Bonus Food/hr]],-1,0)),0)</f>
        <v>100641</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0</v>
      </c>
      <c r="L52" s="35">
        <f ca="1">OFFSET(TblProd[[#This Row],[Ore]],-1,0)+OFFSET(TblProd[[#This Row],[Ore/hr]],-1,0) -TblProd[[#This Row],[Expenses Ore]]</f>
        <v>0</v>
      </c>
      <c r="M52" s="35">
        <f ca="1">OFFSET(TblProd[[#This Row],[Gems]],-1,0)+OFFSET(TblProd[[#This Row],[Gems/hr]],-1,0) - TblProd[[#This Row],[Expenses Gems]]</f>
        <v>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35">
        <f ca="1">MAX(3750,_xlfn.CEILING.MATH(TblProd[[#This Row],[Land]]*2.5+OFFSET(TblTech[[#This Row],[Sum of tech]],-1,0)*150))</f>
        <v>3750</v>
      </c>
      <c r="R52" s="149"/>
      <c r="S52" s="35">
        <f ca="1">ROUNDDOWN(TblProd[[#This Row],[Raw Plat/hr]]*(1+TblProd[[#This Row],[Bonus Plat/hr]]),0)</f>
        <v>788</v>
      </c>
      <c r="T52" s="35">
        <f ca="1">ROUND(TblProd[[#This Row],[Raw Food/hr]]*(1+TblProd[[#This Row],[Bonus Food/hr]])-TblProd[[#This Row],[Food decay]]-TblProd[[#This Row],[Food eaten]],0)</f>
        <v>1381</v>
      </c>
      <c r="U52" s="35">
        <f ca="1">ROUND(TblProd[[#This Row],[Raw Lumber/hr]]*(1+TblProd[[#This Row],[Bonus Lumber/hr]])-TblProd[[#This Row],[Lumber rot]],0)</f>
        <v>525</v>
      </c>
      <c r="V52" s="35">
        <f ca="1">ROUND(TblProd[[#This Row],[Raw Mana/hr]]*(1+TblProd[[#This Row],[Bonus Mana/hr]])-TblProd[[#This Row],[Mana drain]],0)</f>
        <v>0</v>
      </c>
      <c r="W52" s="35">
        <f ca="1">ROUNDDOWN(TblProd[[#This Row],[Raw Ore/hr]]*(1+TblProd[[#This Row],[Bonux Ore/hr]]),0)</f>
        <v>0</v>
      </c>
      <c r="X52" s="35">
        <f ca="1">ROUNDDOWN(TblProd[[#This Row],[Raw Gems/hr]]*(1+TblProd[[#This Row],[Bonus Gems/hr]]),0)</f>
        <v>0</v>
      </c>
      <c r="Y52" s="163">
        <f ca="1">OFFSET(TblConstr[[#This Row],[Tot Doc]],1,0)*dock_boats_hr * (1 + tech_4_1*TblTech[[#This Row],[4-1]])</f>
        <v>0</v>
      </c>
      <c r="Z52" s="162"/>
      <c r="AA52" s="35">
        <f ca="1">TblPop[[#This Row],[Peasants]]*tax*TblPop[[#This Row],[Employment]] + (Construction!AZ53+Construction!BX53)*(alch_plat+(Magic!AN52&gt;0)*alchemist_flame_bonus)</f>
        <v>788.40000000000009</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0</v>
      </c>
      <c r="AE52" s="35">
        <f ca="1">OFFSET(TblConstr[[#This Row],[Tot OM]],1,0)*om_ore+IF(race="Dwarf",TblMili[[#This Row],[Unit 2]]*0.5,0)</f>
        <v>0</v>
      </c>
      <c r="AF52" s="35">
        <f ca="1">OFFSET(TblConstr[[#This Row],[Tot DM]],1,0)*dm_gems</f>
        <v>0</v>
      </c>
      <c r="AG52" s="149"/>
      <c r="AH52" s="164">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4">
        <f ca="1">race_lumber_bonus+ IF(TblMagic[[#This Row],[Active Gaia''s Blessing]]&gt;0,gaias_blessing_lumber)+ tech_1_3*TblTech[[#This Row],[1-3]] + tech_1_6*TblTech[[#This Row],[1-6]] + tech_3_3*TblTech[[#This Row],[3-3]]</f>
        <v>0</v>
      </c>
      <c r="AK52" s="164">
        <f ca="1">race_mana_bonus+ 0 + TblImps[[#This Row],[Spires]] + tech_1_2*TblTech[[#This Row],[1-2]] + tech_3_4*TblTech[[#This Row],[3-4]]</f>
        <v>0</v>
      </c>
      <c r="AL52" s="164">
        <f ca="1">race_ore_bonus + IF(TblMagic[[#This Row],[Active Miner''s Sight]]&gt;0,miners_sight_bonus,IF(TblMagic[[#This Row],[Active Mining Strength]]&gt;0,mining_strength_bonus)) +  tech_1_6*TblTech[[#This Row],[1-6]]</f>
        <v>0</v>
      </c>
      <c r="AM52" s="164">
        <f>race_gem_bonus+ tech_3_2*TblTech[[#This Row],[3-2]] + tech_4_3*TblTech[[#This Row],[4-3]] + tech_6_2*TblTech[[#This Row],[6-2]]</f>
        <v>0</v>
      </c>
      <c r="AN52" s="149"/>
      <c r="AO52" s="35">
        <f ca="1">TblProd[[#This Row],[Food]]*food_decay * (1 + tech_2_1*TblTech[[#This Row],[2-1]] + tech_2_8*TblTech[[#This Row],[2-8]] + IF(AND(TblMagic[[#This Row],[Active DnD]]&lt;12,TblMagic[[#This Row],[Active DnD]]&gt;5),1,0))</f>
        <v>1006.41</v>
      </c>
      <c r="AP52" s="35">
        <f ca="1">(1+race_food_consumption)*TblPop[[#This Row],[Total]]*food_per_person*(1+tech_1_10*TblTech[[#This Row],[1-10]]+tech_7_5*TblTech[[#This Row],[7-5]] + IF(TblMagic[[#This Row],[Active Demonic Pact]]&gt;0,demonic_pact_food_cons,0))</f>
        <v>192.25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0</v>
      </c>
      <c r="AS52" s="162"/>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49"/>
      <c r="AZ52" s="148" t="b">
        <f ca="1">IF(TblProd[[#This Row],[Set Guard]]&lt;&gt;"",TblProd[[#This Row],[Set Guard]],OFFSET(TblProd[[#This Row],[Guard]],-1,0))</f>
        <v>0</v>
      </c>
      <c r="BA52" s="161"/>
      <c r="BB52" s="5" t="str">
        <f>TblProd[[#This Row],[Hour]]</f>
        <v>OOP</v>
      </c>
      <c r="BC52" s="166">
        <f>-TblProd[[#This Row],[Bank Lumber]] / 2 + -TblProd[[#This Row],[Bank Gems]] * 2 + -TblProd[[#This Row],[Bank Ore]] / 2</f>
        <v>0</v>
      </c>
      <c r="BD52" s="166"/>
      <c r="BE52" s="166"/>
      <c r="BF52" s="166"/>
      <c r="BG52" s="167">
        <f ca="1">TblProd[[#This Row],[Time]]</f>
        <v>45816.999999999884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168547</v>
      </c>
      <c r="BJ52" s="35">
        <f ca="1">TblProd[[#This Row],[Food]]</f>
        <v>100641</v>
      </c>
      <c r="BK52" s="35">
        <f ca="1">TblProd[[#This Row],[Lumber]]</f>
        <v>47529</v>
      </c>
      <c r="BL52" s="35">
        <f ca="1">TblProd[[#This Row],[Mana]]</f>
        <v>0</v>
      </c>
      <c r="BM52" s="35">
        <f ca="1">TblProd[[#This Row],[Ore]]</f>
        <v>0</v>
      </c>
    </row>
    <row r="53" spans="1:65" x14ac:dyDescent="0.2">
      <c r="A53" s="137">
        <v>2</v>
      </c>
      <c r="B53" s="152">
        <f ca="1">TblImps[[#This Row],[Time]]</f>
        <v>45817.041666666548</v>
      </c>
      <c r="C53" s="153"/>
      <c r="D53" s="154"/>
      <c r="E53" s="94">
        <f ca="1">TblConstr[[#This Row],[Land]]</f>
        <v>50</v>
      </c>
      <c r="F53" s="94">
        <f ca="1">TblPop[[#This Row],[Peasants]]</f>
        <v>289</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169335</v>
      </c>
      <c r="I53" s="94">
        <f ca="1">OFFSET(TblProd[[#This Row],[Food]],-1,0)+OFFSET(TblProd[[#This Row],[Food/hr]],-1,0)+ROUNDUP((TblConstr[[#This Row],[Farms]]*80+TblConstr[[#This Row],[Docks]]*35)*(1+OFFSET(TblProd[[#This Row],[Bonus Food/hr]],-1,0)),0)</f>
        <v>102022</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MAX(3750,_xlfn.CEILING.MATH(TblProd[[#This Row],[Land]]*2.5+OFFSET(TblTech[[#This Row],[Sum of tech]],-1,0)*150))</f>
        <v>3750</v>
      </c>
      <c r="R53" s="142"/>
      <c r="S53" s="94">
        <f ca="1">ROUNDDOWN(TblProd[[#This Row],[Raw Plat/hr]]*(1+TblProd[[#This Row],[Bonus Plat/hr]]),0)</f>
        <v>780</v>
      </c>
      <c r="T53" s="94">
        <f ca="1">ROUND(TblProd[[#This Row],[Raw Food/hr]]*(1+TblProd[[#This Row],[Bonus Food/hr]])-TblProd[[#This Row],[Food decay]]-TblProd[[#This Row],[Food eaten]],0)</f>
        <v>1368</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780.30000000000007</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1020.22</v>
      </c>
      <c r="AP53" s="94">
        <f ca="1">(1+race_food_consumption)*TblPop[[#This Row],[Total]]*food_per_person*(1+tech_1_10*TblTech[[#This Row],[1-10]]+tech_7_5*TblTech[[#This Row],[7-5]] + IF(TblMagic[[#This Row],[Active Demonic Pact]]&gt;0,demonic_pact_food_cons,0))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2</v>
      </c>
      <c r="BC53" s="158">
        <f>-TblProd[[#This Row],[Bank Lumber]] / 2 + -TblProd[[#This Row],[Bank Gems]] * 2 + -TblProd[[#This Row],[Bank Ore]] / 2</f>
        <v>0</v>
      </c>
      <c r="BD53" s="158"/>
      <c r="BE53" s="158"/>
      <c r="BF53" s="158"/>
      <c r="BG53" s="159">
        <f ca="1">TblProd[[#This Row],[Time]]</f>
        <v>45817.041666666548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169335</v>
      </c>
      <c r="BJ53" s="94">
        <f ca="1">TblProd[[#This Row],[Food]]</f>
        <v>102022</v>
      </c>
      <c r="BK53" s="94">
        <f ca="1">TblProd[[#This Row],[Lumber]]</f>
        <v>48054</v>
      </c>
      <c r="BL53" s="94">
        <f ca="1">TblProd[[#This Row],[Mana]]</f>
        <v>0</v>
      </c>
      <c r="BM53" s="94">
        <f ca="1">TblProd[[#This Row],[Ore]]</f>
        <v>0</v>
      </c>
    </row>
    <row r="54" spans="1:65" x14ac:dyDescent="0.2">
      <c r="A54" s="137">
        <f>A53+1</f>
        <v>3</v>
      </c>
      <c r="B54" s="152">
        <f ca="1">TblImps[[#This Row],[Time]]</f>
        <v>45817.083333333212</v>
      </c>
      <c r="C54" s="153"/>
      <c r="D54" s="154"/>
      <c r="E54" s="94">
        <f ca="1">TblConstr[[#This Row],[Land]]</f>
        <v>50</v>
      </c>
      <c r="F54" s="94">
        <f ca="1">TblPop[[#This Row],[Peasants]]</f>
        <v>286</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170115</v>
      </c>
      <c r="I54" s="94">
        <f ca="1">OFFSET(TblProd[[#This Row],[Food]],-1,0)+OFFSET(TblProd[[#This Row],[Food/hr]],-1,0)+ROUNDUP((TblConstr[[#This Row],[Farms]]*80+TblConstr[[#This Row],[Docks]]*35)*(1+OFFSET(TblProd[[#This Row],[Bonus Food/hr]],-1,0)),0)</f>
        <v>103390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MAX(3750,_xlfn.CEILING.MATH(TblProd[[#This Row],[Land]]*2.5+OFFSET(TblTech[[#This Row],[Sum of tech]],-1,0)*150))</f>
        <v>3750</v>
      </c>
      <c r="R54" s="142"/>
      <c r="S54" s="94">
        <f ca="1">ROUNDDOWN(TblProd[[#This Row],[Raw Plat/hr]]*(1+TblProd[[#This Row],[Bonus Plat/hr]]),0)</f>
        <v>772</v>
      </c>
      <c r="T54" s="94">
        <f ca="1">ROUND(TblProd[[#This Row],[Raw Food/hr]]*(1+TblProd[[#This Row],[Bonus Food/hr]])-TblProd[[#This Row],[Food decay]]-TblProd[[#This Row],[Food eaten]],0)</f>
        <v>1354</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772.2</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1033.9000000000001</v>
      </c>
      <c r="AP54" s="94">
        <f ca="1">(1+race_food_consumption)*TblPop[[#This Row],[Total]]*food_per_person*(1+tech_1_10*TblTech[[#This Row],[1-10]]+tech_7_5*TblTech[[#This Row],[7-5]] + IF(TblMagic[[#This Row],[Active Demonic Pact]]&gt;0,demonic_pact_food_cons,0))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3</v>
      </c>
      <c r="BC54" s="158">
        <f>-TblProd[[#This Row],[Bank Lumber]] / 2 + -TblProd[[#This Row],[Bank Gems]] * 2 + -TblProd[[#This Row],[Bank Ore]] / 2</f>
        <v>0</v>
      </c>
      <c r="BD54" s="158"/>
      <c r="BE54" s="158"/>
      <c r="BF54" s="158"/>
      <c r="BG54" s="159">
        <f ca="1">TblProd[[#This Row],[Time]]</f>
        <v>45817.083333333212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170115</v>
      </c>
      <c r="BJ54" s="94">
        <f ca="1">TblProd[[#This Row],[Food]]</f>
        <v>103390</v>
      </c>
      <c r="BK54" s="94">
        <f ca="1">TblProd[[#This Row],[Lumber]]</f>
        <v>48573</v>
      </c>
      <c r="BL54" s="94">
        <f ca="1">TblProd[[#This Row],[Mana]]</f>
        <v>0</v>
      </c>
      <c r="BM54" s="94">
        <f ca="1">TblProd[[#This Row],[Ore]]</f>
        <v>0</v>
      </c>
    </row>
    <row r="55" spans="1:65" x14ac:dyDescent="0.2">
      <c r="A55" s="137">
        <f t="shared" ref="A55:A118" si="0">A54+1</f>
        <v>4</v>
      </c>
      <c r="B55" s="152">
        <f ca="1">TblImps[[#This Row],[Time]]</f>
        <v>45817.124999999876</v>
      </c>
      <c r="C55" s="153"/>
      <c r="D55" s="154"/>
      <c r="E55" s="94">
        <f ca="1">TblConstr[[#This Row],[Land]]</f>
        <v>50</v>
      </c>
      <c r="F55" s="94">
        <f ca="1">TblPop[[#This Row],[Peasants]]</f>
        <v>283</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170887</v>
      </c>
      <c r="I55" s="94">
        <f ca="1">OFFSET(TblProd[[#This Row],[Food]],-1,0)+OFFSET(TblProd[[#This Row],[Food/hr]],-1,0)+ROUNDUP((TblConstr[[#This Row],[Farms]]*80+TblConstr[[#This Row],[Docks]]*35)*(1+OFFSET(TblProd[[#This Row],[Bonus Food/hr]],-1,0)),0)</f>
        <v>104744</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MAX(3750,_xlfn.CEILING.MATH(TblProd[[#This Row],[Land]]*2.5+OFFSET(TblTech[[#This Row],[Sum of tech]],-1,0)*150))</f>
        <v>3750</v>
      </c>
      <c r="R55" s="142"/>
      <c r="S55" s="94">
        <f ca="1">ROUNDDOWN(TblProd[[#This Row],[Raw Plat/hr]]*(1+TblProd[[#This Row],[Bonus Plat/hr]]),0)</f>
        <v>764</v>
      </c>
      <c r="T55" s="94">
        <f ca="1">ROUND(TblProd[[#This Row],[Raw Food/hr]]*(1+TblProd[[#This Row],[Bonus Food/hr]])-TblProd[[#This Row],[Food decay]]-TblProd[[#This Row],[Food eaten]],0)</f>
        <v>1340</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764.1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1047.44</v>
      </c>
      <c r="AP55" s="94">
        <f ca="1">(1+race_food_consumption)*TblPop[[#This Row],[Total]]*food_per_person*(1+tech_1_10*TblTech[[#This Row],[1-10]]+tech_7_5*TblTech[[#This Row],[7-5]] + IF(TblMagic[[#This Row],[Active Demonic Pact]]&gt;0,demonic_pact_food_cons,0))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4</v>
      </c>
      <c r="BC55" s="158">
        <f>-TblProd[[#This Row],[Bank Lumber]] / 2 + -TblProd[[#This Row],[Bank Gems]] * 2 + -TblProd[[#This Row],[Bank Ore]] / 2</f>
        <v>0</v>
      </c>
      <c r="BD55" s="158"/>
      <c r="BE55" s="158"/>
      <c r="BF55" s="158"/>
      <c r="BG55" s="159">
        <f ca="1">TblProd[[#This Row],[Time]]</f>
        <v>45817.124999999876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170887</v>
      </c>
      <c r="BJ55" s="94">
        <f ca="1">TblProd[[#This Row],[Food]]</f>
        <v>104744</v>
      </c>
      <c r="BK55" s="94">
        <f ca="1">TblProd[[#This Row],[Lumber]]</f>
        <v>49087</v>
      </c>
      <c r="BL55" s="94">
        <f ca="1">TblProd[[#This Row],[Mana]]</f>
        <v>0</v>
      </c>
      <c r="BM55" s="94">
        <f ca="1">TblProd[[#This Row],[Ore]]</f>
        <v>0</v>
      </c>
    </row>
    <row r="56" spans="1:65" x14ac:dyDescent="0.2">
      <c r="A56" s="137">
        <f t="shared" si="0"/>
        <v>5</v>
      </c>
      <c r="B56" s="152">
        <f ca="1">TblImps[[#This Row],[Time]]</f>
        <v>45817.166666666541</v>
      </c>
      <c r="C56" s="153"/>
      <c r="D56" s="154"/>
      <c r="E56" s="94">
        <f ca="1">TblConstr[[#This Row],[Land]]</f>
        <v>50</v>
      </c>
      <c r="F56" s="94">
        <f ca="1">TblPop[[#This Row],[Peasants]]</f>
        <v>280</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171651</v>
      </c>
      <c r="I56" s="94">
        <f ca="1">OFFSET(TblProd[[#This Row],[Food]],-1,0)+OFFSET(TblProd[[#This Row],[Food/hr]],-1,0)+ROUNDUP((TblConstr[[#This Row],[Farms]]*80+TblConstr[[#This Row],[Docks]]*35)*(1+OFFSET(TblProd[[#This Row],[Bonus Food/hr]],-1,0)),0)</f>
        <v>106084</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MAX(3750,_xlfn.CEILING.MATH(TblProd[[#This Row],[Land]]*2.5+OFFSET(TblTech[[#This Row],[Sum of tech]],-1,0)*150))</f>
        <v>3750</v>
      </c>
      <c r="R56" s="142"/>
      <c r="S56" s="94">
        <f ca="1">ROUNDDOWN(TblProd[[#This Row],[Raw Plat/hr]]*(1+TblProd[[#This Row],[Bonus Plat/hr]]),0)</f>
        <v>756</v>
      </c>
      <c r="T56" s="94">
        <f ca="1">ROUND(TblProd[[#This Row],[Raw Food/hr]]*(1+TblProd[[#This Row],[Bonus Food/hr]])-TblProd[[#This Row],[Food decay]]-TblProd[[#This Row],[Food eaten]],0)</f>
        <v>1327</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756</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1060.8399999999999</v>
      </c>
      <c r="AP56" s="94">
        <f ca="1">(1+race_food_consumption)*TblPop[[#This Row],[Total]]*food_per_person*(1+tech_1_10*TblTech[[#This Row],[1-10]]+tech_7_5*TblTech[[#This Row],[7-5]] + IF(TblMagic[[#This Row],[Active Demonic Pact]]&gt;0,demonic_pact_food_cons,0))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5</v>
      </c>
      <c r="BC56" s="158">
        <f>-TblProd[[#This Row],[Bank Lumber]] / 2 + -TblProd[[#This Row],[Bank Gems]] * 2 + -TblProd[[#This Row],[Bank Ore]] / 2</f>
        <v>0</v>
      </c>
      <c r="BD56" s="158"/>
      <c r="BE56" s="158"/>
      <c r="BF56" s="158"/>
      <c r="BG56" s="159">
        <f ca="1">TblProd[[#This Row],[Time]]</f>
        <v>45817.166666666541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171651</v>
      </c>
      <c r="BJ56" s="94">
        <f ca="1">TblProd[[#This Row],[Food]]</f>
        <v>106084</v>
      </c>
      <c r="BK56" s="94">
        <f ca="1">TblProd[[#This Row],[Lumber]]</f>
        <v>49596</v>
      </c>
      <c r="BL56" s="94">
        <f ca="1">TblProd[[#This Row],[Mana]]</f>
        <v>0</v>
      </c>
      <c r="BM56" s="94">
        <f ca="1">TblProd[[#This Row],[Ore]]</f>
        <v>0</v>
      </c>
    </row>
    <row r="57" spans="1:65" x14ac:dyDescent="0.2">
      <c r="A57" s="137">
        <f t="shared" si="0"/>
        <v>6</v>
      </c>
      <c r="B57" s="152">
        <f ca="1">TblImps[[#This Row],[Time]]</f>
        <v>45817.208333333205</v>
      </c>
      <c r="C57" s="153"/>
      <c r="D57" s="154"/>
      <c r="E57" s="94">
        <f ca="1">TblConstr[[#This Row],[Land]]</f>
        <v>50</v>
      </c>
      <c r="F57" s="94">
        <f ca="1">TblPop[[#This Row],[Peasants]]</f>
        <v>277</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172407</v>
      </c>
      <c r="I57" s="94">
        <f ca="1">OFFSET(TblProd[[#This Row],[Food]],-1,0)+OFFSET(TblProd[[#This Row],[Food/hr]],-1,0)+ROUNDUP((TblConstr[[#This Row],[Farms]]*80+TblConstr[[#This Row],[Docks]]*35)*(1+OFFSET(TblProd[[#This Row],[Bonus Food/hr]],-1,0)),0)</f>
        <v>107411</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MAX(3750,_xlfn.CEILING.MATH(TblProd[[#This Row],[Land]]*2.5+OFFSET(TblTech[[#This Row],[Sum of tech]],-1,0)*150))</f>
        <v>3750</v>
      </c>
      <c r="R57" s="142"/>
      <c r="S57" s="94">
        <f ca="1">ROUNDDOWN(TblProd[[#This Row],[Raw Plat/hr]]*(1+TblProd[[#This Row],[Bonus Plat/hr]]),0)</f>
        <v>747</v>
      </c>
      <c r="T57" s="94">
        <f ca="1">ROUND(TblProd[[#This Row],[Raw Food/hr]]*(1+TblProd[[#This Row],[Bonus Food/hr]])-TblProd[[#This Row],[Food decay]]-TblProd[[#This Row],[Food eaten]],0)</f>
        <v>1314</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747.90000000000009</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1074.1100000000001</v>
      </c>
      <c r="AP57" s="94">
        <f ca="1">(1+race_food_consumption)*TblPop[[#This Row],[Total]]*food_per_person*(1+tech_1_10*TblTech[[#This Row],[1-10]]+tech_7_5*TblTech[[#This Row],[7-5]] + IF(TblMagic[[#This Row],[Active Demonic Pact]]&gt;0,demonic_pact_food_cons,0))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6</v>
      </c>
      <c r="BC57" s="158">
        <f>-TblProd[[#This Row],[Bank Lumber]] / 2 + -TblProd[[#This Row],[Bank Gems]] * 2 + -TblProd[[#This Row],[Bank Ore]] / 2</f>
        <v>0</v>
      </c>
      <c r="BD57" s="158"/>
      <c r="BE57" s="158"/>
      <c r="BF57" s="158"/>
      <c r="BG57" s="159">
        <f ca="1">TblProd[[#This Row],[Time]]</f>
        <v>45817.208333333205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172407</v>
      </c>
      <c r="BJ57" s="94">
        <f ca="1">TblProd[[#This Row],[Food]]</f>
        <v>107411</v>
      </c>
      <c r="BK57" s="94">
        <f ca="1">TblProd[[#This Row],[Lumber]]</f>
        <v>50100</v>
      </c>
      <c r="BL57" s="94">
        <f ca="1">TblProd[[#This Row],[Mana]]</f>
        <v>0</v>
      </c>
      <c r="BM57" s="94">
        <f ca="1">TblProd[[#This Row],[Ore]]</f>
        <v>0</v>
      </c>
    </row>
    <row r="58" spans="1:65" x14ac:dyDescent="0.2">
      <c r="A58" s="137">
        <f t="shared" si="0"/>
        <v>7</v>
      </c>
      <c r="B58" s="152">
        <f ca="1">TblImps[[#This Row],[Time]]</f>
        <v>45817.249999999869</v>
      </c>
      <c r="C58" s="153"/>
      <c r="D58" s="154"/>
      <c r="E58" s="94">
        <f ca="1">TblConstr[[#This Row],[Land]]</f>
        <v>50</v>
      </c>
      <c r="F58" s="94">
        <f ca="1">TblPop[[#This Row],[Peasants]]</f>
        <v>274</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173154</v>
      </c>
      <c r="I58" s="94">
        <f ca="1">OFFSET(TblProd[[#This Row],[Food]],-1,0)+OFFSET(TblProd[[#This Row],[Food/hr]],-1,0)+ROUNDUP((TblConstr[[#This Row],[Farms]]*80+TblConstr[[#This Row],[Docks]]*35)*(1+OFFSET(TblProd[[#This Row],[Bonus Food/hr]],-1,0)),0)</f>
        <v>108725</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MAX(3750,_xlfn.CEILING.MATH(TblProd[[#This Row],[Land]]*2.5+OFFSET(TblTech[[#This Row],[Sum of tech]],-1,0)*150))</f>
        <v>3750</v>
      </c>
      <c r="R58" s="142"/>
      <c r="S58" s="94">
        <f ca="1">ROUNDDOWN(TblProd[[#This Row],[Raw Plat/hr]]*(1+TblProd[[#This Row],[Bonus Plat/hr]]),0)</f>
        <v>739</v>
      </c>
      <c r="T58" s="94">
        <f ca="1">ROUND(TblProd[[#This Row],[Raw Food/hr]]*(1+TblProd[[#This Row],[Bonus Food/hr]])-TblProd[[#This Row],[Food decay]]-TblProd[[#This Row],[Food eaten]],0)</f>
        <v>1301</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739.80000000000007</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1087.25</v>
      </c>
      <c r="AP58" s="94">
        <f ca="1">(1+race_food_consumption)*TblPop[[#This Row],[Total]]*food_per_person*(1+tech_1_10*TblTech[[#This Row],[1-10]]+tech_7_5*TblTech[[#This Row],[7-5]] + IF(TblMagic[[#This Row],[Active Demonic Pact]]&gt;0,demonic_pact_food_cons,0))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7</v>
      </c>
      <c r="BC58" s="158">
        <f>-TblProd[[#This Row],[Bank Lumber]] / 2 + -TblProd[[#This Row],[Bank Gems]] * 2 + -TblProd[[#This Row],[Bank Ore]] / 2</f>
        <v>0</v>
      </c>
      <c r="BD58" s="158"/>
      <c r="BE58" s="158"/>
      <c r="BF58" s="158"/>
      <c r="BG58" s="159">
        <f ca="1">TblProd[[#This Row],[Time]]</f>
        <v>45817.249999999869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173154</v>
      </c>
      <c r="BJ58" s="94">
        <f ca="1">TblProd[[#This Row],[Food]]</f>
        <v>108725</v>
      </c>
      <c r="BK58" s="94">
        <f ca="1">TblProd[[#This Row],[Lumber]]</f>
        <v>50599</v>
      </c>
      <c r="BL58" s="94">
        <f ca="1">TblProd[[#This Row],[Mana]]</f>
        <v>0</v>
      </c>
      <c r="BM58" s="94">
        <f ca="1">TblProd[[#This Row],[Ore]]</f>
        <v>0</v>
      </c>
    </row>
    <row r="59" spans="1:65" x14ac:dyDescent="0.2">
      <c r="A59" s="137">
        <f t="shared" si="0"/>
        <v>8</v>
      </c>
      <c r="B59" s="152">
        <f ca="1">TblImps[[#This Row],[Time]]</f>
        <v>45817.291666666533</v>
      </c>
      <c r="C59" s="153"/>
      <c r="D59" s="154"/>
      <c r="E59" s="94">
        <f ca="1">TblConstr[[#This Row],[Land]]</f>
        <v>50</v>
      </c>
      <c r="F59" s="94">
        <f ca="1">TblPop[[#This Row],[Peasants]]</f>
        <v>271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173893</v>
      </c>
      <c r="I59" s="94">
        <f ca="1">OFFSET(TblProd[[#This Row],[Food]],-1,0)+OFFSET(TblProd[[#This Row],[Food/hr]],-1,0)+ROUNDUP((TblConstr[[#This Row],[Farms]]*80+TblConstr[[#This Row],[Docks]]*35)*(1+OFFSET(TblProd[[#This Row],[Bonus Food/hr]],-1,0)),0)</f>
        <v>110026</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MAX(3750,_xlfn.CEILING.MATH(TblProd[[#This Row],[Land]]*2.5+OFFSET(TblTech[[#This Row],[Sum of tech]],-1,0)*150))</f>
        <v>3750</v>
      </c>
      <c r="R59" s="142"/>
      <c r="S59" s="94">
        <f ca="1">ROUNDDOWN(TblProd[[#This Row],[Raw Plat/hr]]*(1+TblProd[[#This Row],[Bonus Plat/hr]]),0)</f>
        <v>731</v>
      </c>
      <c r="T59" s="94">
        <f ca="1">ROUND(TblProd[[#This Row],[Raw Food/hr]]*(1+TblProd[[#This Row],[Bonus Food/hr]])-TblProd[[#This Row],[Food decay]]-TblProd[[#This Row],[Food eaten]],0)</f>
        <v>1287</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731.7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1100.26</v>
      </c>
      <c r="AP59" s="94">
        <f ca="1">(1+race_food_consumption)*TblPop[[#This Row],[Total]]*food_per_person*(1+tech_1_10*TblTech[[#This Row],[1-10]]+tech_7_5*TblTech[[#This Row],[7-5]] + IF(TblMagic[[#This Row],[Active Demonic Pact]]&gt;0,demonic_pact_food_cons,0))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8</v>
      </c>
      <c r="BC59" s="158">
        <f>-TblProd[[#This Row],[Bank Lumber]] / 2 + -TblProd[[#This Row],[Bank Gems]] * 2 + -TblProd[[#This Row],[Bank Ore]] / 2</f>
        <v>0</v>
      </c>
      <c r="BD59" s="158"/>
      <c r="BE59" s="158"/>
      <c r="BF59" s="158"/>
      <c r="BG59" s="159">
        <f ca="1">TblProd[[#This Row],[Time]]</f>
        <v>45817.291666666533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173893</v>
      </c>
      <c r="BJ59" s="94">
        <f ca="1">TblProd[[#This Row],[Food]]</f>
        <v>110026</v>
      </c>
      <c r="BK59" s="94">
        <f ca="1">TblProd[[#This Row],[Lumber]]</f>
        <v>51093</v>
      </c>
      <c r="BL59" s="94">
        <f ca="1">TblProd[[#This Row],[Mana]]</f>
        <v>0</v>
      </c>
      <c r="BM59" s="94">
        <f ca="1">TblProd[[#This Row],[Ore]]</f>
        <v>0</v>
      </c>
    </row>
    <row r="60" spans="1:65" x14ac:dyDescent="0.2">
      <c r="A60" s="137">
        <f t="shared" si="0"/>
        <v>9</v>
      </c>
      <c r="B60" s="152">
        <f ca="1">TblImps[[#This Row],[Time]]</f>
        <v>45817.333333333198</v>
      </c>
      <c r="C60" s="153"/>
      <c r="D60" s="154"/>
      <c r="E60" s="94">
        <f ca="1">TblConstr[[#This Row],[Land]]</f>
        <v>50</v>
      </c>
      <c r="F60" s="94">
        <f ca="1">TblPop[[#This Row],[Peasants]]</f>
        <v>268</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174624</v>
      </c>
      <c r="I60" s="94">
        <f ca="1">OFFSET(TblProd[[#This Row],[Food]],-1,0)+OFFSET(TblProd[[#This Row],[Food/hr]],-1,0)+ROUNDUP((TblConstr[[#This Row],[Farms]]*80+TblConstr[[#This Row],[Docks]]*35)*(1+OFFSET(TblProd[[#This Row],[Bonus Food/hr]],-1,0)),0)</f>
        <v>111313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MAX(3750,_xlfn.CEILING.MATH(TblProd[[#This Row],[Land]]*2.5+OFFSET(TblTech[[#This Row],[Sum of tech]],-1,0)*150))</f>
        <v>3750</v>
      </c>
      <c r="R60" s="142"/>
      <c r="S60" s="94">
        <f ca="1">ROUNDDOWN(TblProd[[#This Row],[Raw Plat/hr]]*(1+TblProd[[#This Row],[Bonus Plat/hr]]),0)</f>
        <v>723</v>
      </c>
      <c r="T60" s="94">
        <f ca="1">ROUND(TblProd[[#This Row],[Raw Food/hr]]*(1+TblProd[[#This Row],[Bonus Food/hr]])-TblProd[[#This Row],[Food decay]]-TblProd[[#This Row],[Food eaten]],0)</f>
        <v>1275</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723.6</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1113.1300000000001</v>
      </c>
      <c r="AP60" s="94">
        <f ca="1">(1+race_food_consumption)*TblPop[[#This Row],[Total]]*food_per_person*(1+tech_1_10*TblTech[[#This Row],[1-10]]+tech_7_5*TblTech[[#This Row],[7-5]] + IF(TblMagic[[#This Row],[Active Demonic Pact]]&gt;0,demonic_pact_food_cons,0))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9</v>
      </c>
      <c r="BC60" s="158">
        <f>-TblProd[[#This Row],[Bank Lumber]] / 2 + -TblProd[[#This Row],[Bank Gems]] * 2 + -TblProd[[#This Row],[Bank Ore]] / 2</f>
        <v>0</v>
      </c>
      <c r="BD60" s="158"/>
      <c r="BE60" s="158"/>
      <c r="BF60" s="158"/>
      <c r="BG60" s="159">
        <f ca="1">TblProd[[#This Row],[Time]]</f>
        <v>45817.333333333198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174624</v>
      </c>
      <c r="BJ60" s="94">
        <f ca="1">TblProd[[#This Row],[Food]]</f>
        <v>111313</v>
      </c>
      <c r="BK60" s="94">
        <f ca="1">TblProd[[#This Row],[Lumber]]</f>
        <v>51582</v>
      </c>
      <c r="BL60" s="94">
        <f ca="1">TblProd[[#This Row],[Mana]]</f>
        <v>0</v>
      </c>
      <c r="BM60" s="94">
        <f ca="1">TblProd[[#This Row],[Ore]]</f>
        <v>0</v>
      </c>
    </row>
    <row r="61" spans="1:65" x14ac:dyDescent="0.2">
      <c r="A61" s="137">
        <f t="shared" si="0"/>
        <v>10</v>
      </c>
      <c r="B61" s="152">
        <f ca="1">TblImps[[#This Row],[Time]]</f>
        <v>45817.374999999862</v>
      </c>
      <c r="C61" s="153"/>
      <c r="D61" s="154"/>
      <c r="E61" s="94">
        <f ca="1">TblConstr[[#This Row],[Land]]</f>
        <v>50</v>
      </c>
      <c r="F61" s="94">
        <f ca="1">TblPop[[#This Row],[Peasants]]</f>
        <v>265</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175347</v>
      </c>
      <c r="I61" s="94">
        <f ca="1">OFFSET(TblProd[[#This Row],[Food]],-1,0)+OFFSET(TblProd[[#This Row],[Food/hr]],-1,0)+ROUNDUP((TblConstr[[#This Row],[Farms]]*80+TblConstr[[#This Row],[Docks]]*35)*(1+OFFSET(TblProd[[#This Row],[Bonus Food/hr]],-1,0)),0)</f>
        <v>112588</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MAX(3750,_xlfn.CEILING.MATH(TblProd[[#This Row],[Land]]*2.5+OFFSET(TblTech[[#This Row],[Sum of tech]],-1,0)*150))</f>
        <v>3750</v>
      </c>
      <c r="R61" s="142"/>
      <c r="S61" s="94">
        <f ca="1">ROUNDDOWN(TblProd[[#This Row],[Raw Plat/hr]]*(1+TblProd[[#This Row],[Bonus Plat/hr]]),0)</f>
        <v>715</v>
      </c>
      <c r="T61" s="94">
        <f ca="1">ROUND(TblProd[[#This Row],[Raw Food/hr]]*(1+TblProd[[#This Row],[Bonus Food/hr]])-TblProd[[#This Row],[Food decay]]-TblProd[[#This Row],[Food eaten]],0)</f>
        <v>1262</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715.5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1125.8800000000001</v>
      </c>
      <c r="AP61" s="94">
        <f ca="1">(1+race_food_consumption)*TblPop[[#This Row],[Total]]*food_per_person*(1+tech_1_10*TblTech[[#This Row],[1-10]]+tech_7_5*TblTech[[#This Row],[7-5]] + IF(TblMagic[[#This Row],[Active Demonic Pact]]&gt;0,demonic_pact_food_cons,0))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10</v>
      </c>
      <c r="BC61" s="158">
        <f>-TblProd[[#This Row],[Bank Lumber]] / 2 + -TblProd[[#This Row],[Bank Gems]] * 2 + -TblProd[[#This Row],[Bank Ore]] / 2</f>
        <v>0</v>
      </c>
      <c r="BD61" s="158"/>
      <c r="BE61" s="158"/>
      <c r="BF61" s="158"/>
      <c r="BG61" s="159">
        <f ca="1">TblProd[[#This Row],[Time]]</f>
        <v>45817.374999999862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175347</v>
      </c>
      <c r="BJ61" s="94">
        <f ca="1">TblProd[[#This Row],[Food]]</f>
        <v>112588</v>
      </c>
      <c r="BK61" s="94">
        <f ca="1">TblProd[[#This Row],[Lumber]]</f>
        <v>52066</v>
      </c>
      <c r="BL61" s="94">
        <f ca="1">TblProd[[#This Row],[Mana]]</f>
        <v>0</v>
      </c>
      <c r="BM61" s="94">
        <f ca="1">TblProd[[#This Row],[Ore]]</f>
        <v>0</v>
      </c>
    </row>
    <row r="62" spans="1:65" x14ac:dyDescent="0.2">
      <c r="A62" s="137">
        <f t="shared" si="0"/>
        <v>11</v>
      </c>
      <c r="B62" s="152">
        <f ca="1">TblImps[[#This Row],[Time]]</f>
        <v>45817.416666666526</v>
      </c>
      <c r="C62" s="153"/>
      <c r="D62" s="154"/>
      <c r="E62" s="94">
        <f ca="1">TblConstr[[#This Row],[Land]]</f>
        <v>50</v>
      </c>
      <c r="F62" s="94">
        <f ca="1">TblPop[[#This Row],[Peasants]]</f>
        <v>262</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176062</v>
      </c>
      <c r="I62" s="94">
        <f ca="1">OFFSET(TblProd[[#This Row],[Food]],-1,0)+OFFSET(TblProd[[#This Row],[Food/hr]],-1,0)+ROUNDUP((TblConstr[[#This Row],[Farms]]*80+TblConstr[[#This Row],[Docks]]*35)*(1+OFFSET(TblProd[[#This Row],[Bonus Food/hr]],-1,0)),0)</f>
        <v>113850</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MAX(3750,_xlfn.CEILING.MATH(TblProd[[#This Row],[Land]]*2.5+OFFSET(TblTech[[#This Row],[Sum of tech]],-1,0)*150))</f>
        <v>3750</v>
      </c>
      <c r="R62" s="142"/>
      <c r="S62" s="94">
        <f ca="1">ROUNDDOWN(TblProd[[#This Row],[Raw Plat/hr]]*(1+TblProd[[#This Row],[Bonus Plat/hr]]),0)</f>
        <v>707</v>
      </c>
      <c r="T62" s="94">
        <f ca="1">ROUND(TblProd[[#This Row],[Raw Food/hr]]*(1+TblProd[[#This Row],[Bonus Food/hr]])-TblProd[[#This Row],[Food decay]]-TblProd[[#This Row],[Food eaten]],0)</f>
        <v>1249</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707.40000000000009</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1138.5</v>
      </c>
      <c r="AP62" s="94">
        <f ca="1">(1+race_food_consumption)*TblPop[[#This Row],[Total]]*food_per_person*(1+tech_1_10*TblTech[[#This Row],[1-10]]+tech_7_5*TblTech[[#This Row],[7-5]] + IF(TblMagic[[#This Row],[Active Demonic Pact]]&gt;0,demonic_pact_food_cons,0))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11</v>
      </c>
      <c r="BC62" s="158">
        <f>-TblProd[[#This Row],[Bank Lumber]] / 2 + -TblProd[[#This Row],[Bank Gems]] * 2 + -TblProd[[#This Row],[Bank Ore]] / 2</f>
        <v>0</v>
      </c>
      <c r="BD62" s="158"/>
      <c r="BE62" s="158"/>
      <c r="BF62" s="158"/>
      <c r="BG62" s="159">
        <f ca="1">TblProd[[#This Row],[Time]]</f>
        <v>45817.416666666526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176062</v>
      </c>
      <c r="BJ62" s="94">
        <f ca="1">TblProd[[#This Row],[Food]]</f>
        <v>113850</v>
      </c>
      <c r="BK62" s="94">
        <f ca="1">TblProd[[#This Row],[Lumber]]</f>
        <v>52545</v>
      </c>
      <c r="BL62" s="94">
        <f ca="1">TblProd[[#This Row],[Mana]]</f>
        <v>0</v>
      </c>
      <c r="BM62" s="94">
        <f ca="1">TblProd[[#This Row],[Ore]]</f>
        <v>0</v>
      </c>
    </row>
    <row r="63" spans="1:65" x14ac:dyDescent="0.2">
      <c r="A63" s="137">
        <f t="shared" si="0"/>
        <v>12</v>
      </c>
      <c r="B63" s="152">
        <f ca="1">TblImps[[#This Row],[Time]]</f>
        <v>45817.45833333319</v>
      </c>
      <c r="C63" s="153"/>
      <c r="D63" s="154"/>
      <c r="E63" s="94">
        <f ca="1">TblConstr[[#This Row],[Land]]</f>
        <v>50</v>
      </c>
      <c r="F63" s="94">
        <f ca="1">TblPop[[#This Row],[Peasants]]</f>
        <v>259</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176769</v>
      </c>
      <c r="I63" s="94">
        <f ca="1">OFFSET(TblProd[[#This Row],[Food]],-1,0)+OFFSET(TblProd[[#This Row],[Food/hr]],-1,0)+ROUNDUP((TblConstr[[#This Row],[Farms]]*80+TblConstr[[#This Row],[Docks]]*35)*(1+OFFSET(TblProd[[#This Row],[Bonus Food/hr]],-1,0)),0)</f>
        <v>115099</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MAX(3750,_xlfn.CEILING.MATH(TblProd[[#This Row],[Land]]*2.5+OFFSET(TblTech[[#This Row],[Sum of tech]],-1,0)*150))</f>
        <v>3750</v>
      </c>
      <c r="R63" s="142"/>
      <c r="S63" s="94">
        <f ca="1">ROUNDDOWN(TblProd[[#This Row],[Raw Plat/hr]]*(1+TblProd[[#This Row],[Bonus Plat/hr]]),0)</f>
        <v>699</v>
      </c>
      <c r="T63" s="94">
        <f ca="1">ROUND(TblProd[[#This Row],[Raw Food/hr]]*(1+TblProd[[#This Row],[Bonus Food/hr]])-TblProd[[#This Row],[Food decay]]-TblProd[[#This Row],[Food eaten]],0)</f>
        <v>1237</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699.30000000000007</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1150.99</v>
      </c>
      <c r="AP63" s="94">
        <f ca="1">(1+race_food_consumption)*TblPop[[#This Row],[Total]]*food_per_person*(1+tech_1_10*TblTech[[#This Row],[1-10]]+tech_7_5*TblTech[[#This Row],[7-5]] + IF(TblMagic[[#This Row],[Active Demonic Pact]]&gt;0,demonic_pact_food_cons,0))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12</v>
      </c>
      <c r="BC63" s="158">
        <f>-TblProd[[#This Row],[Bank Lumber]] / 2 + -TblProd[[#This Row],[Bank Gems]] * 2 + -TblProd[[#This Row],[Bank Ore]] / 2</f>
        <v>0</v>
      </c>
      <c r="BD63" s="158"/>
      <c r="BE63" s="158"/>
      <c r="BF63" s="158"/>
      <c r="BG63" s="159">
        <f ca="1">TblProd[[#This Row],[Time]]</f>
        <v>45817.45833333319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176769</v>
      </c>
      <c r="BJ63" s="94">
        <f ca="1">TblProd[[#This Row],[Food]]</f>
        <v>115099</v>
      </c>
      <c r="BK63" s="94">
        <f ca="1">TblProd[[#This Row],[Lumber]]</f>
        <v>53020</v>
      </c>
      <c r="BL63" s="94">
        <f ca="1">TblProd[[#This Row],[Mana]]</f>
        <v>0</v>
      </c>
      <c r="BM63" s="94">
        <f ca="1">TblProd[[#This Row],[Ore]]</f>
        <v>0</v>
      </c>
    </row>
    <row r="64" spans="1:65" x14ac:dyDescent="0.2">
      <c r="A64" s="137">
        <f t="shared" si="0"/>
        <v>13</v>
      </c>
      <c r="B64" s="152">
        <f ca="1">TblImps[[#This Row],[Time]]</f>
        <v>45817.499999999854</v>
      </c>
      <c r="C64" s="153"/>
      <c r="D64" s="154"/>
      <c r="E64" s="94">
        <f ca="1">TblConstr[[#This Row],[Land]]</f>
        <v>50</v>
      </c>
      <c r="F64" s="94">
        <f ca="1">TblPop[[#This Row],[Peasants]]</f>
        <v>256</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177468</v>
      </c>
      <c r="I64" s="94">
        <f ca="1">OFFSET(TblProd[[#This Row],[Food]],-1,0)+OFFSET(TblProd[[#This Row],[Food/hr]],-1,0)+ROUNDUP((TblConstr[[#This Row],[Farms]]*80+TblConstr[[#This Row],[Docks]]*35)*(1+OFFSET(TblProd[[#This Row],[Bonus Food/hr]],-1,0)),0)</f>
        <v>116336</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MAX(3750,_xlfn.CEILING.MATH(TblProd[[#This Row],[Land]]*2.5+OFFSET(TblTech[[#This Row],[Sum of tech]],-1,0)*150))</f>
        <v>3750</v>
      </c>
      <c r="R64" s="142"/>
      <c r="S64" s="94">
        <f ca="1">ROUNDDOWN(TblProd[[#This Row],[Raw Plat/hr]]*(1+TblProd[[#This Row],[Bonus Plat/hr]]),0)</f>
        <v>691</v>
      </c>
      <c r="T64" s="94">
        <f ca="1">ROUND(TblProd[[#This Row],[Raw Food/hr]]*(1+TblProd[[#This Row],[Bonus Food/hr]])-TblProd[[#This Row],[Food decay]]-TblProd[[#This Row],[Food eaten]],0)</f>
        <v>1224</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691.2</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1163.3600000000001</v>
      </c>
      <c r="AP64" s="94">
        <f ca="1">(1+race_food_consumption)*TblPop[[#This Row],[Total]]*food_per_person*(1+tech_1_10*TblTech[[#This Row],[1-10]]+tech_7_5*TblTech[[#This Row],[7-5]] + IF(TblMagic[[#This Row],[Active Demonic Pact]]&gt;0,demonic_pact_food_cons,0))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13</v>
      </c>
      <c r="BC64" s="158">
        <f>-TblProd[[#This Row],[Bank Lumber]] / 2 + -TblProd[[#This Row],[Bank Gems]] * 2 + -TblProd[[#This Row],[Bank Ore]] / 2</f>
        <v>0</v>
      </c>
      <c r="BD64" s="158"/>
      <c r="BE64" s="158"/>
      <c r="BF64" s="158"/>
      <c r="BG64" s="159">
        <f ca="1">TblProd[[#This Row],[Time]]</f>
        <v>45817.499999999854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177468</v>
      </c>
      <c r="BJ64" s="94">
        <f ca="1">TblProd[[#This Row],[Food]]</f>
        <v>116336</v>
      </c>
      <c r="BK64" s="94">
        <f ca="1">TblProd[[#This Row],[Lumber]]</f>
        <v>53490</v>
      </c>
      <c r="BL64" s="94">
        <f ca="1">TblProd[[#This Row],[Mana]]</f>
        <v>0</v>
      </c>
      <c r="BM64" s="94">
        <f ca="1">TblProd[[#This Row],[Ore]]</f>
        <v>0</v>
      </c>
    </row>
    <row r="65" spans="1:65" x14ac:dyDescent="0.2">
      <c r="A65" s="137">
        <f t="shared" si="0"/>
        <v>14</v>
      </c>
      <c r="B65" s="152">
        <f ca="1">TblImps[[#This Row],[Time]]</f>
        <v>45817.541666666519</v>
      </c>
      <c r="C65" s="153"/>
      <c r="D65" s="154"/>
      <c r="E65" s="94">
        <f ca="1">TblConstr[[#This Row],[Land]]</f>
        <v>50</v>
      </c>
      <c r="F65" s="94">
        <f ca="1">TblPop[[#This Row],[Peasants]]</f>
        <v>253</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178159</v>
      </c>
      <c r="I65" s="94">
        <f ca="1">OFFSET(TblProd[[#This Row],[Food]],-1,0)+OFFSET(TblProd[[#This Row],[Food/hr]],-1,0)+ROUNDUP((TblConstr[[#This Row],[Farms]]*80+TblConstr[[#This Row],[Docks]]*35)*(1+OFFSET(TblProd[[#This Row],[Bonus Food/hr]],-1,0)),0)</f>
        <v>117560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MAX(3750,_xlfn.CEILING.MATH(TblProd[[#This Row],[Land]]*2.5+OFFSET(TblTech[[#This Row],[Sum of tech]],-1,0)*150))</f>
        <v>3750</v>
      </c>
      <c r="R65" s="142"/>
      <c r="S65" s="94">
        <f ca="1">ROUNDDOWN(TblProd[[#This Row],[Raw Plat/hr]]*(1+TblProd[[#This Row],[Bonus Plat/hr]]),0)</f>
        <v>683</v>
      </c>
      <c r="T65" s="94">
        <f ca="1">ROUND(TblProd[[#This Row],[Raw Food/hr]]*(1+TblProd[[#This Row],[Bonus Food/hr]])-TblProd[[#This Row],[Food decay]]-TblProd[[#This Row],[Food eaten]],0)</f>
        <v>1212</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683.1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1175.6000000000001</v>
      </c>
      <c r="AP65" s="94">
        <f ca="1">(1+race_food_consumption)*TblPop[[#This Row],[Total]]*food_per_person*(1+tech_1_10*TblTech[[#This Row],[1-10]]+tech_7_5*TblTech[[#This Row],[7-5]] + IF(TblMagic[[#This Row],[Active Demonic Pact]]&gt;0,demonic_pact_food_cons,0))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14</v>
      </c>
      <c r="BC65" s="158">
        <f>-TblProd[[#This Row],[Bank Lumber]] / 2 + -TblProd[[#This Row],[Bank Gems]] * 2 + -TblProd[[#This Row],[Bank Ore]] / 2</f>
        <v>0</v>
      </c>
      <c r="BD65" s="158"/>
      <c r="BE65" s="158"/>
      <c r="BF65" s="158"/>
      <c r="BG65" s="159">
        <f ca="1">TblProd[[#This Row],[Time]]</f>
        <v>45817.541666666519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178159</v>
      </c>
      <c r="BJ65" s="94">
        <f ca="1">TblProd[[#This Row],[Food]]</f>
        <v>117560</v>
      </c>
      <c r="BK65" s="94">
        <f ca="1">TblProd[[#This Row],[Lumber]]</f>
        <v>53955</v>
      </c>
      <c r="BL65" s="94">
        <f ca="1">TblProd[[#This Row],[Mana]]</f>
        <v>0</v>
      </c>
      <c r="BM65" s="94">
        <f ca="1">TblProd[[#This Row],[Ore]]</f>
        <v>0</v>
      </c>
    </row>
    <row r="66" spans="1:65" x14ac:dyDescent="0.2">
      <c r="A66" s="137">
        <f t="shared" si="0"/>
        <v>15</v>
      </c>
      <c r="B66" s="152">
        <f ca="1">TblImps[[#This Row],[Time]]</f>
        <v>45817.583333333183</v>
      </c>
      <c r="C66" s="153"/>
      <c r="D66" s="154"/>
      <c r="E66" s="94">
        <f ca="1">TblConstr[[#This Row],[Land]]</f>
        <v>50</v>
      </c>
      <c r="F66" s="94">
        <f ca="1">TblPop[[#This Row],[Peasants]]</f>
        <v>250</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178842</v>
      </c>
      <c r="I66" s="94">
        <f ca="1">OFFSET(TblProd[[#This Row],[Food]],-1,0)+OFFSET(TblProd[[#This Row],[Food/hr]],-1,0)+ROUNDUP((TblConstr[[#This Row],[Farms]]*80+TblConstr[[#This Row],[Docks]]*35)*(1+OFFSET(TblProd[[#This Row],[Bonus Food/hr]],-1,0)),0)</f>
        <v>118772</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MAX(3750,_xlfn.CEILING.MATH(TblProd[[#This Row],[Land]]*2.5+OFFSET(TblTech[[#This Row],[Sum of tech]],-1,0)*150))</f>
        <v>3750</v>
      </c>
      <c r="R66" s="142"/>
      <c r="S66" s="94">
        <f ca="1">ROUNDDOWN(TblProd[[#This Row],[Raw Plat/hr]]*(1+TblProd[[#This Row],[Bonus Plat/hr]]),0)</f>
        <v>675</v>
      </c>
      <c r="T66" s="94">
        <f ca="1">ROUND(TblProd[[#This Row],[Raw Food/hr]]*(1+TblProd[[#This Row],[Bonus Food/hr]])-TblProd[[#This Row],[Food decay]]-TblProd[[#This Row],[Food eaten]],0)</f>
        <v>1200</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675</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1187.72</v>
      </c>
      <c r="AP66" s="94">
        <f ca="1">(1+race_food_consumption)*TblPop[[#This Row],[Total]]*food_per_person*(1+tech_1_10*TblTech[[#This Row],[1-10]]+tech_7_5*TblTech[[#This Row],[7-5]] + IF(TblMagic[[#This Row],[Active Demonic Pact]]&gt;0,demonic_pact_food_cons,0))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15</v>
      </c>
      <c r="BC66" s="158">
        <f>-TblProd[[#This Row],[Bank Lumber]] / 2 + -TblProd[[#This Row],[Bank Gems]] * 2 + -TblProd[[#This Row],[Bank Ore]] / 2</f>
        <v>0</v>
      </c>
      <c r="BD66" s="158"/>
      <c r="BE66" s="158"/>
      <c r="BF66" s="158"/>
      <c r="BG66" s="159">
        <f ca="1">TblProd[[#This Row],[Time]]</f>
        <v>45817.583333333183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178842</v>
      </c>
      <c r="BJ66" s="94">
        <f ca="1">TblProd[[#This Row],[Food]]</f>
        <v>118772</v>
      </c>
      <c r="BK66" s="94">
        <f ca="1">TblProd[[#This Row],[Lumber]]</f>
        <v>54415</v>
      </c>
      <c r="BL66" s="94">
        <f ca="1">TblProd[[#This Row],[Mana]]</f>
        <v>0</v>
      </c>
      <c r="BM66" s="94">
        <f ca="1">TblProd[[#This Row],[Ore]]</f>
        <v>0</v>
      </c>
    </row>
    <row r="67" spans="1:65" x14ac:dyDescent="0.2">
      <c r="A67" s="137">
        <f t="shared" si="0"/>
        <v>16</v>
      </c>
      <c r="B67" s="152">
        <f ca="1">TblImps[[#This Row],[Time]]</f>
        <v>45817.624999999847</v>
      </c>
      <c r="C67" s="153"/>
      <c r="D67" s="154"/>
      <c r="E67" s="94">
        <f ca="1">TblConstr[[#This Row],[Land]]</f>
        <v>50</v>
      </c>
      <c r="F67" s="94">
        <f ca="1">TblPop[[#This Row],[Peasants]]</f>
        <v>247</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179517</v>
      </c>
      <c r="I67" s="94">
        <f ca="1">OFFSET(TblProd[[#This Row],[Food]],-1,0)+OFFSET(TblProd[[#This Row],[Food/hr]],-1,0)+ROUNDUP((TblConstr[[#This Row],[Farms]]*80+TblConstr[[#This Row],[Docks]]*35)*(1+OFFSET(TblProd[[#This Row],[Bonus Food/hr]],-1,0)),0)</f>
        <v>119972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MAX(3750,_xlfn.CEILING.MATH(TblProd[[#This Row],[Land]]*2.5+OFFSET(TblTech[[#This Row],[Sum of tech]],-1,0)*150))</f>
        <v>3750</v>
      </c>
      <c r="R67" s="142"/>
      <c r="S67" s="94">
        <f ca="1">ROUNDDOWN(TblProd[[#This Row],[Raw Plat/hr]]*(1+TblProd[[#This Row],[Bonus Plat/hr]]),0)</f>
        <v>666</v>
      </c>
      <c r="T67" s="94">
        <f ca="1">ROUND(TblProd[[#This Row],[Raw Food/hr]]*(1+TblProd[[#This Row],[Bonus Food/hr]])-TblProd[[#This Row],[Food decay]]-TblProd[[#This Row],[Food eaten]],0)</f>
        <v>1188</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666.90000000000009</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1199.72</v>
      </c>
      <c r="AP67" s="94">
        <f ca="1">(1+race_food_consumption)*TblPop[[#This Row],[Total]]*food_per_person*(1+tech_1_10*TblTech[[#This Row],[1-10]]+tech_7_5*TblTech[[#This Row],[7-5]] + IF(TblMagic[[#This Row],[Active Demonic Pact]]&gt;0,demonic_pact_food_cons,0))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16</v>
      </c>
      <c r="BC67" s="158">
        <f>-TblProd[[#This Row],[Bank Lumber]] / 2 + -TblProd[[#This Row],[Bank Gems]] * 2 + -TblProd[[#This Row],[Bank Ore]] / 2</f>
        <v>0</v>
      </c>
      <c r="BD67" s="158"/>
      <c r="BE67" s="158"/>
      <c r="BF67" s="158"/>
      <c r="BG67" s="159">
        <f ca="1">TblProd[[#This Row],[Time]]</f>
        <v>45817.624999999847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179517</v>
      </c>
      <c r="BJ67" s="94">
        <f ca="1">TblProd[[#This Row],[Food]]</f>
        <v>119972</v>
      </c>
      <c r="BK67" s="94">
        <f ca="1">TblProd[[#This Row],[Lumber]]</f>
        <v>54871</v>
      </c>
      <c r="BL67" s="94">
        <f ca="1">TblProd[[#This Row],[Mana]]</f>
        <v>0</v>
      </c>
      <c r="BM67" s="94">
        <f ca="1">TblProd[[#This Row],[Ore]]</f>
        <v>0</v>
      </c>
    </row>
    <row r="68" spans="1:65" x14ac:dyDescent="0.2">
      <c r="A68" s="137">
        <f t="shared" si="0"/>
        <v>17</v>
      </c>
      <c r="B68" s="152">
        <f ca="1">TblImps[[#This Row],[Time]]</f>
        <v>45817.666666666511</v>
      </c>
      <c r="C68" s="153"/>
      <c r="D68" s="154"/>
      <c r="E68" s="94">
        <f ca="1">TblConstr[[#This Row],[Land]]</f>
        <v>50</v>
      </c>
      <c r="F68" s="94">
        <f ca="1">TblPop[[#This Row],[Peasants]]</f>
        <v>245</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180183</v>
      </c>
      <c r="I68" s="94">
        <f ca="1">OFFSET(TblProd[[#This Row],[Food]],-1,0)+OFFSET(TblProd[[#This Row],[Food/hr]],-1,0)+ROUNDUP((TblConstr[[#This Row],[Farms]]*80+TblConstr[[#This Row],[Docks]]*35)*(1+OFFSET(TblProd[[#This Row],[Bonus Food/hr]],-1,0)),0)</f>
        <v>121160</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MAX(3750,_xlfn.CEILING.MATH(TblProd[[#This Row],[Land]]*2.5+OFFSET(TblTech[[#This Row],[Sum of tech]],-1,0)*150))</f>
        <v>3750</v>
      </c>
      <c r="R68" s="142"/>
      <c r="S68" s="94">
        <f ca="1">ROUNDDOWN(TblProd[[#This Row],[Raw Plat/hr]]*(1+TblProd[[#This Row],[Bonus Plat/hr]]),0)</f>
        <v>661</v>
      </c>
      <c r="T68" s="94">
        <f ca="1">ROUND(TblProd[[#This Row],[Raw Food/hr]]*(1+TblProd[[#This Row],[Bonus Food/hr]])-TblProd[[#This Row],[Food decay]]-TblProd[[#This Row],[Food eaten]],0)</f>
        <v>1176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661.5</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1211.6000000000001</v>
      </c>
      <c r="AP68" s="94">
        <f ca="1">(1+race_food_consumption)*TblPop[[#This Row],[Total]]*food_per_person*(1+tech_1_10*TblTech[[#This Row],[1-10]]+tech_7_5*TblTech[[#This Row],[7-5]] + IF(TblMagic[[#This Row],[Active Demonic Pact]]&gt;0,demonic_pact_food_cons,0))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17</v>
      </c>
      <c r="BC68" s="158">
        <f>-TblProd[[#This Row],[Bank Lumber]] / 2 + -TblProd[[#This Row],[Bank Gems]] * 2 + -TblProd[[#This Row],[Bank Ore]] / 2</f>
        <v>0</v>
      </c>
      <c r="BD68" s="158"/>
      <c r="BE68" s="158"/>
      <c r="BF68" s="158"/>
      <c r="BG68" s="159">
        <f ca="1">TblProd[[#This Row],[Time]]</f>
        <v>45817.666666666511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180183</v>
      </c>
      <c r="BJ68" s="94">
        <f ca="1">TblProd[[#This Row],[Food]]</f>
        <v>121160</v>
      </c>
      <c r="BK68" s="94">
        <f ca="1">TblProd[[#This Row],[Lumber]]</f>
        <v>55322</v>
      </c>
      <c r="BL68" s="94">
        <f ca="1">TblProd[[#This Row],[Mana]]</f>
        <v>0</v>
      </c>
      <c r="BM68" s="94">
        <f ca="1">TblProd[[#This Row],[Ore]]</f>
        <v>0</v>
      </c>
    </row>
    <row r="69" spans="1:65" x14ac:dyDescent="0.2">
      <c r="A69" s="137">
        <f t="shared" si="0"/>
        <v>18</v>
      </c>
      <c r="B69" s="152">
        <f ca="1">TblImps[[#This Row],[Time]]</f>
        <v>45817.708333333176</v>
      </c>
      <c r="C69" s="153"/>
      <c r="D69" s="154"/>
      <c r="E69" s="94">
        <f ca="1">TblConstr[[#This Row],[Land]]</f>
        <v>50</v>
      </c>
      <c r="F69" s="94">
        <f ca="1">TblPop[[#This Row],[Peasants]]</f>
        <v>243</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180844</v>
      </c>
      <c r="I69" s="94">
        <f ca="1">OFFSET(TblProd[[#This Row],[Food]],-1,0)+OFFSET(TblProd[[#This Row],[Food/hr]],-1,0)+ROUNDUP((TblConstr[[#This Row],[Farms]]*80+TblConstr[[#This Row],[Docks]]*35)*(1+OFFSET(TblProd[[#This Row],[Bonus Food/hr]],-1,0)),0)</f>
        <v>122336</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MAX(3750,_xlfn.CEILING.MATH(TblProd[[#This Row],[Land]]*2.5+OFFSET(TblTech[[#This Row],[Sum of tech]],-1,0)*150))</f>
        <v>3750</v>
      </c>
      <c r="R69" s="142"/>
      <c r="S69" s="94">
        <f ca="1">ROUNDDOWN(TblProd[[#This Row],[Raw Plat/hr]]*(1+TblProd[[#This Row],[Bonus Plat/hr]]),0)</f>
        <v>656</v>
      </c>
      <c r="T69" s="94">
        <f ca="1">ROUND(TblProd[[#This Row],[Raw Food/hr]]*(1+TblProd[[#This Row],[Bonus Food/hr]])-TblProd[[#This Row],[Food decay]]-TblProd[[#This Row],[Food eaten]],0)</f>
        <v>1164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656.1</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1223.3600000000001</v>
      </c>
      <c r="AP69" s="94">
        <f ca="1">(1+race_food_consumption)*TblPop[[#This Row],[Total]]*food_per_person*(1+tech_1_10*TblTech[[#This Row],[1-10]]+tech_7_5*TblTech[[#This Row],[7-5]] + IF(TblMagic[[#This Row],[Active Demonic Pact]]&gt;0,demonic_pact_food_cons,0))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18</v>
      </c>
      <c r="BC69" s="158">
        <f>-TblProd[[#This Row],[Bank Lumber]] / 2 + -TblProd[[#This Row],[Bank Gems]] * 2 + -TblProd[[#This Row],[Bank Ore]] / 2</f>
        <v>0</v>
      </c>
      <c r="BD69" s="158"/>
      <c r="BE69" s="158"/>
      <c r="BF69" s="158"/>
      <c r="BG69" s="159">
        <f ca="1">TblProd[[#This Row],[Time]]</f>
        <v>45817.708333333176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180844</v>
      </c>
      <c r="BJ69" s="94">
        <f ca="1">TblProd[[#This Row],[Food]]</f>
        <v>122336</v>
      </c>
      <c r="BK69" s="94">
        <f ca="1">TblProd[[#This Row],[Lumber]]</f>
        <v>55769</v>
      </c>
      <c r="BL69" s="94">
        <f ca="1">TblProd[[#This Row],[Mana]]</f>
        <v>0</v>
      </c>
      <c r="BM69" s="94">
        <f ca="1">TblProd[[#This Row],[Ore]]</f>
        <v>0</v>
      </c>
    </row>
    <row r="70" spans="1:65" x14ac:dyDescent="0.2">
      <c r="A70" s="137">
        <f t="shared" si="0"/>
        <v>19</v>
      </c>
      <c r="B70" s="152">
        <f ca="1">TblImps[[#This Row],[Time]]</f>
        <v>45817.74999999984</v>
      </c>
      <c r="C70" s="153"/>
      <c r="D70" s="154"/>
      <c r="E70" s="94">
        <f ca="1">TblConstr[[#This Row],[Land]]</f>
        <v>50</v>
      </c>
      <c r="F70" s="94">
        <f ca="1">TblPop[[#This Row],[Peasants]]</f>
        <v>241</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181500</v>
      </c>
      <c r="I70" s="94">
        <f ca="1">OFFSET(TblProd[[#This Row],[Food]],-1,0)+OFFSET(TblProd[[#This Row],[Food/hr]],-1,0)+ROUNDUP((TblConstr[[#This Row],[Farms]]*80+TblConstr[[#This Row],[Docks]]*35)*(1+OFFSET(TblProd[[#This Row],[Bonus Food/hr]],-1,0)),0)</f>
        <v>123500</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MAX(3750,_xlfn.CEILING.MATH(TblProd[[#This Row],[Land]]*2.5+OFFSET(TblTech[[#This Row],[Sum of tech]],-1,0)*150))</f>
        <v>3750</v>
      </c>
      <c r="R70" s="142"/>
      <c r="S70" s="94">
        <f ca="1">ROUNDDOWN(TblProd[[#This Row],[Raw Plat/hr]]*(1+TblProd[[#This Row],[Bonus Plat/hr]]),0)</f>
        <v>650</v>
      </c>
      <c r="T70" s="94">
        <f ca="1">ROUND(TblProd[[#This Row],[Raw Food/hr]]*(1+TblProd[[#This Row],[Bonus Food/hr]])-TblProd[[#This Row],[Food decay]]-TblProd[[#This Row],[Food eaten]],0)</f>
        <v>1153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650.70000000000005</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1235</v>
      </c>
      <c r="AP70" s="94">
        <f ca="1">(1+race_food_consumption)*TblPop[[#This Row],[Total]]*food_per_person*(1+tech_1_10*TblTech[[#This Row],[1-10]]+tech_7_5*TblTech[[#This Row],[7-5]] + IF(TblMagic[[#This Row],[Active Demonic Pact]]&gt;0,demonic_pact_food_cons,0))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19</v>
      </c>
      <c r="BC70" s="158">
        <f>-TblProd[[#This Row],[Bank Lumber]] / 2 + -TblProd[[#This Row],[Bank Gems]] * 2 + -TblProd[[#This Row],[Bank Ore]] / 2</f>
        <v>0</v>
      </c>
      <c r="BD70" s="158"/>
      <c r="BE70" s="158"/>
      <c r="BF70" s="158"/>
      <c r="BG70" s="159">
        <f ca="1">TblProd[[#This Row],[Time]]</f>
        <v>45817.74999999984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181500</v>
      </c>
      <c r="BJ70" s="94">
        <f ca="1">TblProd[[#This Row],[Food]]</f>
        <v>123500</v>
      </c>
      <c r="BK70" s="94">
        <f ca="1">TblProd[[#This Row],[Lumber]]</f>
        <v>56211</v>
      </c>
      <c r="BL70" s="94">
        <f ca="1">TblProd[[#This Row],[Mana]]</f>
        <v>0</v>
      </c>
      <c r="BM70" s="94">
        <f ca="1">TblProd[[#This Row],[Ore]]</f>
        <v>0</v>
      </c>
    </row>
    <row r="71" spans="1:65" x14ac:dyDescent="0.2">
      <c r="A71" s="137">
        <f t="shared" si="0"/>
        <v>20</v>
      </c>
      <c r="B71" s="152">
        <f ca="1">TblImps[[#This Row],[Time]]</f>
        <v>45817.791666666504</v>
      </c>
      <c r="C71" s="153"/>
      <c r="D71" s="154"/>
      <c r="E71" s="94">
        <f ca="1">TblConstr[[#This Row],[Land]]</f>
        <v>50</v>
      </c>
      <c r="F71" s="94">
        <f ca="1">TblPop[[#This Row],[Peasants]]</f>
        <v>239</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182150</v>
      </c>
      <c r="I71" s="94">
        <f ca="1">OFFSET(TblProd[[#This Row],[Food]],-1,0)+OFFSET(TblProd[[#This Row],[Food/hr]],-1,0)+ROUNDUP((TblConstr[[#This Row],[Farms]]*80+TblConstr[[#This Row],[Docks]]*35)*(1+OFFSET(TblProd[[#This Row],[Bonus Food/hr]],-1,0)),0)</f>
        <v>124653</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MAX(3750,_xlfn.CEILING.MATH(TblProd[[#This Row],[Land]]*2.5+OFFSET(TblTech[[#This Row],[Sum of tech]],-1,0)*150))</f>
        <v>3750</v>
      </c>
      <c r="R71" s="142"/>
      <c r="S71" s="94">
        <f ca="1">ROUNDDOWN(TblProd[[#This Row],[Raw Plat/hr]]*(1+TblProd[[#This Row],[Bonus Plat/hr]]),0)</f>
        <v>645</v>
      </c>
      <c r="T71" s="94">
        <f ca="1">ROUND(TblProd[[#This Row],[Raw Food/hr]]*(1+TblProd[[#This Row],[Bonus Food/hr]])-TblProd[[#This Row],[Food decay]]-TblProd[[#This Row],[Food eaten]],0)</f>
        <v>1141</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645.30000000000007</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1246.53</v>
      </c>
      <c r="AP71" s="94">
        <f ca="1">(1+race_food_consumption)*TblPop[[#This Row],[Total]]*food_per_person*(1+tech_1_10*TblTech[[#This Row],[1-10]]+tech_7_5*TblTech[[#This Row],[7-5]] + IF(TblMagic[[#This Row],[Active Demonic Pact]]&gt;0,demonic_pact_food_cons,0))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20</v>
      </c>
      <c r="BC71" s="158">
        <f>-TblProd[[#This Row],[Bank Lumber]] / 2 + -TblProd[[#This Row],[Bank Gems]] * 2 + -TblProd[[#This Row],[Bank Ore]] / 2</f>
        <v>0</v>
      </c>
      <c r="BD71" s="158"/>
      <c r="BE71" s="158"/>
      <c r="BF71" s="158"/>
      <c r="BG71" s="159">
        <f ca="1">TblProd[[#This Row],[Time]]</f>
        <v>45817.791666666504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182150</v>
      </c>
      <c r="BJ71" s="94">
        <f ca="1">TblProd[[#This Row],[Food]]</f>
        <v>124653</v>
      </c>
      <c r="BK71" s="94">
        <f ca="1">TblProd[[#This Row],[Lumber]]</f>
        <v>56649</v>
      </c>
      <c r="BL71" s="94">
        <f ca="1">TblProd[[#This Row],[Mana]]</f>
        <v>0</v>
      </c>
      <c r="BM71" s="94">
        <f ca="1">TblProd[[#This Row],[Ore]]</f>
        <v>0</v>
      </c>
    </row>
    <row r="72" spans="1:65" x14ac:dyDescent="0.2">
      <c r="A72" s="137">
        <f t="shared" si="0"/>
        <v>21</v>
      </c>
      <c r="B72" s="152">
        <f ca="1">TblImps[[#This Row],[Time]]</f>
        <v>45817.833333333168</v>
      </c>
      <c r="C72" s="153"/>
      <c r="D72" s="154"/>
      <c r="E72" s="94">
        <f ca="1">TblConstr[[#This Row],[Land]]</f>
        <v>50</v>
      </c>
      <c r="F72" s="94">
        <f ca="1">TblPop[[#This Row],[Peasants]]</f>
        <v>237</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182795</v>
      </c>
      <c r="I72" s="94">
        <f ca="1">OFFSET(TblProd[[#This Row],[Food]],-1,0)+OFFSET(TblProd[[#This Row],[Food/hr]],-1,0)+ROUNDUP((TblConstr[[#This Row],[Farms]]*80+TblConstr[[#This Row],[Docks]]*35)*(1+OFFSET(TblProd[[#This Row],[Bonus Food/hr]],-1,0)),0)</f>
        <v>125794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MAX(3750,_xlfn.CEILING.MATH(TblProd[[#This Row],[Land]]*2.5+OFFSET(TblTech[[#This Row],[Sum of tech]],-1,0)*150))</f>
        <v>3750</v>
      </c>
      <c r="R72" s="142"/>
      <c r="S72" s="94">
        <f ca="1">ROUNDDOWN(TblProd[[#This Row],[Raw Plat/hr]]*(1+TblProd[[#This Row],[Bonus Plat/hr]]),0)</f>
        <v>639</v>
      </c>
      <c r="T72" s="94">
        <f ca="1">ROUND(TblProd[[#This Row],[Raw Food/hr]]*(1+TblProd[[#This Row],[Bonus Food/hr]])-TblProd[[#This Row],[Food decay]]-TblProd[[#This Row],[Food eaten]],0)</f>
        <v>1130</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639.90000000000009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1257.94</v>
      </c>
      <c r="AP72" s="94">
        <f ca="1">(1+race_food_consumption)*TblPop[[#This Row],[Total]]*food_per_person*(1+tech_1_10*TblTech[[#This Row],[1-10]]+tech_7_5*TblTech[[#This Row],[7-5]] + IF(TblMagic[[#This Row],[Active Demonic Pact]]&gt;0,demonic_pact_food_cons,0))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21</v>
      </c>
      <c r="BC72" s="158">
        <f>-TblProd[[#This Row],[Bank Lumber]] / 2 + -TblProd[[#This Row],[Bank Gems]] * 2 + -TblProd[[#This Row],[Bank Ore]] / 2</f>
        <v>0</v>
      </c>
      <c r="BD72" s="158"/>
      <c r="BE72" s="158"/>
      <c r="BF72" s="158"/>
      <c r="BG72" s="159">
        <f ca="1">TblProd[[#This Row],[Time]]</f>
        <v>45817.833333333168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182795</v>
      </c>
      <c r="BJ72" s="94">
        <f ca="1">TblProd[[#This Row],[Food]]</f>
        <v>125794</v>
      </c>
      <c r="BK72" s="94">
        <f ca="1">TblProd[[#This Row],[Lumber]]</f>
        <v>57083</v>
      </c>
      <c r="BL72" s="94">
        <f ca="1">TblProd[[#This Row],[Mana]]</f>
        <v>0</v>
      </c>
      <c r="BM72" s="94">
        <f ca="1">TblProd[[#This Row],[Ore]]</f>
        <v>0</v>
      </c>
    </row>
    <row r="73" spans="1:65" x14ac:dyDescent="0.2">
      <c r="A73" s="137">
        <f t="shared" si="0"/>
        <v>22</v>
      </c>
      <c r="B73" s="152">
        <f ca="1">TblImps[[#This Row],[Time]]</f>
        <v>45817.874999999833</v>
      </c>
      <c r="C73" s="153"/>
      <c r="D73" s="154"/>
      <c r="E73" s="94">
        <f ca="1">TblConstr[[#This Row],[Land]]</f>
        <v>50</v>
      </c>
      <c r="F73" s="94">
        <f ca="1">TblPop[[#This Row],[Peasants]]</f>
        <v>235</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183434</v>
      </c>
      <c r="I73" s="94">
        <f ca="1">OFFSET(TblProd[[#This Row],[Food]],-1,0)+OFFSET(TblProd[[#This Row],[Food/hr]],-1,0)+ROUNDUP((TblConstr[[#This Row],[Farms]]*80+TblConstr[[#This Row],[Docks]]*35)*(1+OFFSET(TblProd[[#This Row],[Bonus Food/hr]],-1,0)),0)</f>
        <v>126924</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MAX(3750,_xlfn.CEILING.MATH(TblProd[[#This Row],[Land]]*2.5+OFFSET(TblTech[[#This Row],[Sum of tech]],-1,0)*150))</f>
        <v>3750</v>
      </c>
      <c r="R73" s="142"/>
      <c r="S73" s="94">
        <f ca="1">ROUNDDOWN(TblProd[[#This Row],[Raw Plat/hr]]*(1+TblProd[[#This Row],[Bonus Plat/hr]]),0)</f>
        <v>634</v>
      </c>
      <c r="T73" s="94">
        <f ca="1">ROUND(TblProd[[#This Row],[Raw Food/hr]]*(1+TblProd[[#This Row],[Bonus Food/hr]])-TblProd[[#This Row],[Food decay]]-TblProd[[#This Row],[Food eaten]],0)</f>
        <v>1119</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634.5</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1269.24</v>
      </c>
      <c r="AP73" s="94">
        <f ca="1">(1+race_food_consumption)*TblPop[[#This Row],[Total]]*food_per_person*(1+tech_1_10*TblTech[[#This Row],[1-10]]+tech_7_5*TblTech[[#This Row],[7-5]] + IF(TblMagic[[#This Row],[Active Demonic Pact]]&gt;0,demonic_pact_food_cons,0))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22</v>
      </c>
      <c r="BC73" s="158">
        <f>-TblProd[[#This Row],[Bank Lumber]] / 2 + -TblProd[[#This Row],[Bank Gems]] * 2 + -TblProd[[#This Row],[Bank Ore]] / 2</f>
        <v>0</v>
      </c>
      <c r="BD73" s="158"/>
      <c r="BE73" s="158"/>
      <c r="BF73" s="158"/>
      <c r="BG73" s="159">
        <f ca="1">TblProd[[#This Row],[Time]]</f>
        <v>45817.874999999833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183434</v>
      </c>
      <c r="BJ73" s="94">
        <f ca="1">TblProd[[#This Row],[Food]]</f>
        <v>126924</v>
      </c>
      <c r="BK73" s="94">
        <f ca="1">TblProd[[#This Row],[Lumber]]</f>
        <v>57512</v>
      </c>
      <c r="BL73" s="94">
        <f ca="1">TblProd[[#This Row],[Mana]]</f>
        <v>0</v>
      </c>
      <c r="BM73" s="94">
        <f ca="1">TblProd[[#This Row],[Ore]]</f>
        <v>0</v>
      </c>
    </row>
    <row r="74" spans="1:65" x14ac:dyDescent="0.2">
      <c r="A74" s="137">
        <f t="shared" si="0"/>
        <v>23</v>
      </c>
      <c r="B74" s="152">
        <f ca="1">TblImps[[#This Row],[Time]]</f>
        <v>45817.916666666497</v>
      </c>
      <c r="C74" s="153"/>
      <c r="D74" s="154"/>
      <c r="E74" s="94">
        <f ca="1">TblConstr[[#This Row],[Land]]</f>
        <v>50</v>
      </c>
      <c r="F74" s="94">
        <f ca="1">TblPop[[#This Row],[Peasants]]</f>
        <v>233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184068</v>
      </c>
      <c r="I74" s="94">
        <f ca="1">OFFSET(TblProd[[#This Row],[Food]],-1,0)+OFFSET(TblProd[[#This Row],[Food/hr]],-1,0)+ROUNDUP((TblConstr[[#This Row],[Farms]]*80+TblConstr[[#This Row],[Docks]]*35)*(1+OFFSET(TblProd[[#This Row],[Bonus Food/hr]],-1,0)),0)</f>
        <v>128043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MAX(3750,_xlfn.CEILING.MATH(TblProd[[#This Row],[Land]]*2.5+OFFSET(TblTech[[#This Row],[Sum of tech]],-1,0)*150))</f>
        <v>3750</v>
      </c>
      <c r="R74" s="142"/>
      <c r="S74" s="94">
        <f ca="1">ROUNDDOWN(TblProd[[#This Row],[Raw Plat/hr]]*(1+TblProd[[#This Row],[Bonus Plat/hr]]),0)</f>
        <v>629</v>
      </c>
      <c r="T74" s="94">
        <f ca="1">ROUND(TblProd[[#This Row],[Raw Food/hr]]*(1+TblProd[[#This Row],[Bonus Food/hr]])-TblProd[[#This Row],[Food decay]]-TblProd[[#This Row],[Food eaten]],0)</f>
        <v>1107</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629.1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1280.43</v>
      </c>
      <c r="AP74" s="94">
        <f ca="1">(1+race_food_consumption)*TblPop[[#This Row],[Total]]*food_per_person*(1+tech_1_10*TblTech[[#This Row],[1-10]]+tech_7_5*TblTech[[#This Row],[7-5]] + IF(TblMagic[[#This Row],[Active Demonic Pact]]&gt;0,demonic_pact_food_cons,0))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23</v>
      </c>
      <c r="BC74" s="158">
        <f>-TblProd[[#This Row],[Bank Lumber]] / 2 + -TblProd[[#This Row],[Bank Gems]] * 2 + -TblProd[[#This Row],[Bank Ore]] / 2</f>
        <v>0</v>
      </c>
      <c r="BD74" s="158"/>
      <c r="BE74" s="158"/>
      <c r="BF74" s="158"/>
      <c r="BG74" s="159">
        <f ca="1">TblProd[[#This Row],[Time]]</f>
        <v>45817.916666666497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184068</v>
      </c>
      <c r="BJ74" s="94">
        <f ca="1">TblProd[[#This Row],[Food]]</f>
        <v>128043</v>
      </c>
      <c r="BK74" s="94">
        <f ca="1">TblProd[[#This Row],[Lumber]]</f>
        <v>57937</v>
      </c>
      <c r="BL74" s="94">
        <f ca="1">TblProd[[#This Row],[Mana]]</f>
        <v>0</v>
      </c>
      <c r="BM74" s="94">
        <f ca="1">TblProd[[#This Row],[Ore]]</f>
        <v>0</v>
      </c>
    </row>
    <row r="75" spans="1:65" x14ac:dyDescent="0.2">
      <c r="A75" s="137">
        <f t="shared" si="0"/>
        <v>24</v>
      </c>
      <c r="B75" s="152">
        <f ca="1">TblImps[[#This Row],[Time]]</f>
        <v>45817.958333333161</v>
      </c>
      <c r="C75" s="153"/>
      <c r="D75" s="154"/>
      <c r="E75" s="94">
        <f ca="1">TblConstr[[#This Row],[Land]]</f>
        <v>50</v>
      </c>
      <c r="F75" s="94">
        <f ca="1">TblPop[[#This Row],[Peasants]]</f>
        <v>231</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184697</v>
      </c>
      <c r="I75" s="94">
        <f ca="1">OFFSET(TblProd[[#This Row],[Food]],-1,0)+OFFSET(TblProd[[#This Row],[Food/hr]],-1,0)+ROUNDUP((TblConstr[[#This Row],[Farms]]*80+TblConstr[[#This Row],[Docks]]*35)*(1+OFFSET(TblProd[[#This Row],[Bonus Food/hr]],-1,0)),0)</f>
        <v>129150</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MAX(3750,_xlfn.CEILING.MATH(TblProd[[#This Row],[Land]]*2.5+OFFSET(TblTech[[#This Row],[Sum of tech]],-1,0)*150))</f>
        <v>3750</v>
      </c>
      <c r="R75" s="142"/>
      <c r="S75" s="94">
        <f ca="1">ROUNDDOWN(TblProd[[#This Row],[Raw Plat/hr]]*(1+TblProd[[#This Row],[Bonus Plat/hr]]),0)</f>
        <v>623</v>
      </c>
      <c r="T75" s="94">
        <f ca="1">ROUND(TblProd[[#This Row],[Raw Food/hr]]*(1+TblProd[[#This Row],[Bonus Food/hr]])-TblProd[[#This Row],[Food decay]]-TblProd[[#This Row],[Food eaten]],0)</f>
        <v>1096</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623.70000000000005</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1291.5</v>
      </c>
      <c r="AP75" s="94">
        <f ca="1">(1+race_food_consumption)*TblPop[[#This Row],[Total]]*food_per_person*(1+tech_1_10*TblTech[[#This Row],[1-10]]+tech_7_5*TblTech[[#This Row],[7-5]] + IF(TblMagic[[#This Row],[Active Demonic Pact]]&gt;0,demonic_pact_food_cons,0))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24</v>
      </c>
      <c r="BC75" s="158">
        <f>-TblProd[[#This Row],[Bank Lumber]] / 2 + -TblProd[[#This Row],[Bank Gems]] * 2 + -TblProd[[#This Row],[Bank Ore]] / 2</f>
        <v>0</v>
      </c>
      <c r="BD75" s="158"/>
      <c r="BE75" s="158"/>
      <c r="BF75" s="158"/>
      <c r="BG75" s="159">
        <f ca="1">TblProd[[#This Row],[Time]]</f>
        <v>45817.958333333161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184697</v>
      </c>
      <c r="BJ75" s="94">
        <f ca="1">TblProd[[#This Row],[Food]]</f>
        <v>129150</v>
      </c>
      <c r="BK75" s="94">
        <f ca="1">TblProd[[#This Row],[Lumber]]</f>
        <v>58358</v>
      </c>
      <c r="BL75" s="94">
        <f ca="1">TblProd[[#This Row],[Mana]]</f>
        <v>0</v>
      </c>
      <c r="BM75" s="94">
        <f ca="1">TblProd[[#This Row],[Ore]]</f>
        <v>0</v>
      </c>
    </row>
    <row r="76" spans="1:65" x14ac:dyDescent="0.2">
      <c r="A76" s="137">
        <f t="shared" si="0"/>
        <v>25</v>
      </c>
      <c r="B76" s="152">
        <f ca="1">TblImps[[#This Row],[Time]]</f>
        <v>45817.999999999825</v>
      </c>
      <c r="C76" s="153"/>
      <c r="D76" s="154"/>
      <c r="E76" s="94">
        <f ca="1">TblConstr[[#This Row],[Land]]</f>
        <v>50</v>
      </c>
      <c r="F76" s="94">
        <f ca="1">TblPop[[#This Row],[Peasants]]</f>
        <v>229</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185320</v>
      </c>
      <c r="I76" s="94">
        <f ca="1">OFFSET(TblProd[[#This Row],[Food]],-1,0)+OFFSET(TblProd[[#This Row],[Food/hr]],-1,0)+ROUNDUP((TblConstr[[#This Row],[Farms]]*80+TblConstr[[#This Row],[Docks]]*35)*(1+OFFSET(TblProd[[#This Row],[Bonus Food/hr]],-1,0)),0)</f>
        <v>130246</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MAX(3750,_xlfn.CEILING.MATH(TblProd[[#This Row],[Land]]*2.5+OFFSET(TblTech[[#This Row],[Sum of tech]],-1,0)*150))</f>
        <v>3750</v>
      </c>
      <c r="S76" s="94">
        <f ca="1">ROUNDDOWN(TblProd[[#This Row],[Raw Plat/hr]]*(1+TblProd[[#This Row],[Bonus Plat/hr]]),0)</f>
        <v>618</v>
      </c>
      <c r="T76" s="94">
        <f ca="1">ROUND(TblProd[[#This Row],[Raw Food/hr]]*(1+TblProd[[#This Row],[Bonus Food/hr]])-TblProd[[#This Row],[Food decay]]-TblProd[[#This Row],[Food eaten]],0)</f>
        <v>1085</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618.30000000000007</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1302.46</v>
      </c>
      <c r="AP76" s="94">
        <f ca="1">(1+race_food_consumption)*TblPop[[#This Row],[Total]]*food_per_person*(1+tech_1_10*TblTech[[#This Row],[1-10]]+tech_7_5*TblTech[[#This Row],[7-5]] + IF(TblMagic[[#This Row],[Active Demonic Pact]]&gt;0,demonic_pact_food_cons,0))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25</v>
      </c>
      <c r="BC76" s="158">
        <f>-TblProd[[#This Row],[Bank Lumber]] / 2 + -TblProd[[#This Row],[Bank Gems]] * 2 + -TblProd[[#This Row],[Bank Ore]] / 2</f>
        <v>0</v>
      </c>
      <c r="BD76" s="158"/>
      <c r="BE76" s="158"/>
      <c r="BF76" s="158"/>
      <c r="BG76" s="159">
        <f ca="1">TblProd[[#This Row],[Time]]</f>
        <v>45817.999999999825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185320</v>
      </c>
      <c r="BJ76" s="94">
        <f ca="1">TblProd[[#This Row],[Food]]</f>
        <v>130246</v>
      </c>
      <c r="BK76" s="94">
        <f ca="1">TblProd[[#This Row],[Lumber]]</f>
        <v>58774</v>
      </c>
      <c r="BL76" s="94">
        <f ca="1">TblProd[[#This Row],[Mana]]</f>
        <v>0</v>
      </c>
      <c r="BM76" s="94">
        <f ca="1">TblProd[[#This Row],[Ore]]</f>
        <v>0</v>
      </c>
    </row>
    <row r="77" spans="1:65" x14ac:dyDescent="0.2">
      <c r="A77" s="137">
        <f t="shared" si="0"/>
        <v>26</v>
      </c>
      <c r="B77" s="152">
        <f ca="1">TblImps[[#This Row],[Time]]</f>
        <v>45818.04166666649</v>
      </c>
      <c r="C77" s="153"/>
      <c r="D77" s="154"/>
      <c r="E77" s="94">
        <f ca="1">TblConstr[[#This Row],[Land]]</f>
        <v>50</v>
      </c>
      <c r="F77" s="94">
        <f ca="1">TblPop[[#This Row],[Peasants]]</f>
        <v>227</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185938</v>
      </c>
      <c r="I77" s="94">
        <f ca="1">OFFSET(TblProd[[#This Row],[Food]],-1,0)+OFFSET(TblProd[[#This Row],[Food/hr]],-1,0)+ROUNDUP((TblConstr[[#This Row],[Farms]]*80+TblConstr[[#This Row],[Docks]]*35)*(1+OFFSET(TblProd[[#This Row],[Bonus Food/hr]],-1,0)),0)</f>
        <v>131331</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MAX(3750,_xlfn.CEILING.MATH(TblProd[[#This Row],[Land]]*2.5+OFFSET(TblTech[[#This Row],[Sum of tech]],-1,0)*150))</f>
        <v>3750</v>
      </c>
      <c r="R77" s="142"/>
      <c r="S77" s="94">
        <f ca="1">ROUNDDOWN(TblProd[[#This Row],[Raw Plat/hr]]*(1+TblProd[[#This Row],[Bonus Plat/hr]]),0)</f>
        <v>612</v>
      </c>
      <c r="T77" s="94">
        <f ca="1">ROUND(TblProd[[#This Row],[Raw Food/hr]]*(1+TblProd[[#This Row],[Bonus Food/hr]])-TblProd[[#This Row],[Food decay]]-TblProd[[#This Row],[Food eaten]],0)</f>
        <v>1074</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612.90000000000009</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1313.31</v>
      </c>
      <c r="AP77" s="94">
        <f ca="1">(1+race_food_consumption)*TblPop[[#This Row],[Total]]*food_per_person*(1+tech_1_10*TblTech[[#This Row],[1-10]]+tech_7_5*TblTech[[#This Row],[7-5]] + IF(TblMagic[[#This Row],[Active Demonic Pact]]&gt;0,demonic_pact_food_cons,0))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26</v>
      </c>
      <c r="BC77" s="158">
        <f>-TblProd[[#This Row],[Bank Lumber]] / 2 + -TblProd[[#This Row],[Bank Gems]] * 2 + -TblProd[[#This Row],[Bank Ore]] / 2</f>
        <v>0</v>
      </c>
      <c r="BD77" s="158"/>
      <c r="BE77" s="158"/>
      <c r="BF77" s="158"/>
      <c r="BG77" s="159">
        <f ca="1">TblProd[[#This Row],[Time]]</f>
        <v>45818.04166666649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185938</v>
      </c>
      <c r="BJ77" s="94">
        <f ca="1">TblProd[[#This Row],[Food]]</f>
        <v>131331</v>
      </c>
      <c r="BK77" s="94">
        <f ca="1">TblProd[[#This Row],[Lumber]]</f>
        <v>59186</v>
      </c>
      <c r="BL77" s="94">
        <f ca="1">TblProd[[#This Row],[Mana]]</f>
        <v>0</v>
      </c>
      <c r="BM77" s="94">
        <f ca="1">TblProd[[#This Row],[Ore]]</f>
        <v>0</v>
      </c>
    </row>
    <row r="78" spans="1:65" x14ac:dyDescent="0.2">
      <c r="A78" s="137">
        <f t="shared" si="0"/>
        <v>27</v>
      </c>
      <c r="B78" s="152">
        <f ca="1">TblImps[[#This Row],[Time]]</f>
        <v>45818.083333333154</v>
      </c>
      <c r="C78" s="153"/>
      <c r="D78" s="154"/>
      <c r="E78" s="94">
        <f ca="1">TblConstr[[#This Row],[Land]]</f>
        <v>50</v>
      </c>
      <c r="F78" s="94">
        <f ca="1">TblPop[[#This Row],[Peasants]]</f>
        <v>225</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186550</v>
      </c>
      <c r="I78" s="94">
        <f ca="1">OFFSET(TblProd[[#This Row],[Food]],-1,0)+OFFSET(TblProd[[#This Row],[Food/hr]],-1,0)+ROUNDUP((TblConstr[[#This Row],[Farms]]*80+TblConstr[[#This Row],[Docks]]*35)*(1+OFFSET(TblProd[[#This Row],[Bonus Food/hr]],-1,0)),0)</f>
        <v>132405</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MAX(3750,_xlfn.CEILING.MATH(TblProd[[#This Row],[Land]]*2.5+OFFSET(TblTech[[#This Row],[Sum of tech]],-1,0)*150))</f>
        <v>3750</v>
      </c>
      <c r="R78" s="142"/>
      <c r="S78" s="94">
        <f ca="1">ROUNDDOWN(TblProd[[#This Row],[Raw Plat/hr]]*(1+TblProd[[#This Row],[Bonus Plat/hr]]),0)</f>
        <v>607</v>
      </c>
      <c r="T78" s="94">
        <f ca="1">ROUND(TblProd[[#This Row],[Raw Food/hr]]*(1+TblProd[[#This Row],[Bonus Food/hr]])-TblProd[[#This Row],[Food decay]]-TblProd[[#This Row],[Food eaten]],0)</f>
        <v>1064</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607.5</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1324.05</v>
      </c>
      <c r="AP78" s="94">
        <f ca="1">(1+race_food_consumption)*TblPop[[#This Row],[Total]]*food_per_person*(1+tech_1_10*TblTech[[#This Row],[1-10]]+tech_7_5*TblTech[[#This Row],[7-5]] + IF(TblMagic[[#This Row],[Active Demonic Pact]]&gt;0,demonic_pact_food_cons,0))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27</v>
      </c>
      <c r="BC78" s="158">
        <f>-TblProd[[#This Row],[Bank Lumber]] / 2 + -TblProd[[#This Row],[Bank Gems]] * 2 + -TblProd[[#This Row],[Bank Ore]] / 2</f>
        <v>0</v>
      </c>
      <c r="BD78" s="158"/>
      <c r="BE78" s="158"/>
      <c r="BF78" s="158"/>
      <c r="BG78" s="159">
        <f ca="1">TblProd[[#This Row],[Time]]</f>
        <v>45818.083333333154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186550</v>
      </c>
      <c r="BJ78" s="94">
        <f ca="1">TblProd[[#This Row],[Food]]</f>
        <v>132405</v>
      </c>
      <c r="BK78" s="94">
        <f ca="1">TblProd[[#This Row],[Lumber]]</f>
        <v>59594</v>
      </c>
      <c r="BL78" s="94">
        <f ca="1">TblProd[[#This Row],[Mana]]</f>
        <v>0</v>
      </c>
      <c r="BM78" s="94">
        <f ca="1">TblProd[[#This Row],[Ore]]</f>
        <v>0</v>
      </c>
    </row>
    <row r="79" spans="1:65" x14ac:dyDescent="0.2">
      <c r="A79" s="137">
        <f t="shared" si="0"/>
        <v>28</v>
      </c>
      <c r="B79" s="152">
        <f ca="1">TblImps[[#This Row],[Time]]</f>
        <v>45818.124999999818</v>
      </c>
      <c r="C79" s="153"/>
      <c r="D79" s="154"/>
      <c r="E79" s="94">
        <f ca="1">TblConstr[[#This Row],[Land]]</f>
        <v>50</v>
      </c>
      <c r="F79" s="94">
        <f ca="1">TblPop[[#This Row],[Peasants]]</f>
        <v>223</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187157</v>
      </c>
      <c r="I79" s="94">
        <f ca="1">OFFSET(TblProd[[#This Row],[Food]],-1,0)+OFFSET(TblProd[[#This Row],[Food/hr]],-1,0)+ROUNDUP((TblConstr[[#This Row],[Farms]]*80+TblConstr[[#This Row],[Docks]]*35)*(1+OFFSET(TblProd[[#This Row],[Bonus Food/hr]],-1,0)),0)</f>
        <v>133469</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MAX(3750,_xlfn.CEILING.MATH(TblProd[[#This Row],[Land]]*2.5+OFFSET(TblTech[[#This Row],[Sum of tech]],-1,0)*150))</f>
        <v>3750</v>
      </c>
      <c r="R79" s="142"/>
      <c r="S79" s="94">
        <f ca="1">ROUNDDOWN(TblProd[[#This Row],[Raw Plat/hr]]*(1+TblProd[[#This Row],[Bonus Plat/hr]]),0)</f>
        <v>602</v>
      </c>
      <c r="T79" s="94">
        <f ca="1">ROUND(TblProd[[#This Row],[Raw Food/hr]]*(1+TblProd[[#This Row],[Bonus Food/hr]])-TblProd[[#This Row],[Food decay]]-TblProd[[#This Row],[Food eaten]],0)</f>
        <v>1053</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602.1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1334.69</v>
      </c>
      <c r="AP79" s="94">
        <f ca="1">(1+race_food_consumption)*TblPop[[#This Row],[Total]]*food_per_person*(1+tech_1_10*TblTech[[#This Row],[1-10]]+tech_7_5*TblTech[[#This Row],[7-5]] + IF(TblMagic[[#This Row],[Active Demonic Pact]]&gt;0,demonic_pact_food_cons,0))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28</v>
      </c>
      <c r="BC79" s="158">
        <f>-TblProd[[#This Row],[Bank Lumber]] / 2 + -TblProd[[#This Row],[Bank Gems]] * 2 + -TblProd[[#This Row],[Bank Ore]] / 2</f>
        <v>0</v>
      </c>
      <c r="BD79" s="158"/>
      <c r="BE79" s="158"/>
      <c r="BF79" s="158"/>
      <c r="BG79" s="159">
        <f ca="1">TblProd[[#This Row],[Time]]</f>
        <v>45818.124999999818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187157</v>
      </c>
      <c r="BJ79" s="94">
        <f ca="1">TblProd[[#This Row],[Food]]</f>
        <v>133469</v>
      </c>
      <c r="BK79" s="94">
        <f ca="1">TblProd[[#This Row],[Lumber]]</f>
        <v>59998</v>
      </c>
      <c r="BL79" s="94">
        <f ca="1">TblProd[[#This Row],[Mana]]</f>
        <v>0</v>
      </c>
      <c r="BM79" s="94">
        <f ca="1">TblProd[[#This Row],[Ore]]</f>
        <v>0</v>
      </c>
    </row>
    <row r="80" spans="1:65" x14ac:dyDescent="0.2">
      <c r="A80" s="137">
        <f t="shared" si="0"/>
        <v>29</v>
      </c>
      <c r="B80" s="152">
        <f ca="1">TblImps[[#This Row],[Time]]</f>
        <v>45818.166666666482</v>
      </c>
      <c r="C80" s="153"/>
      <c r="D80" s="154"/>
      <c r="E80" s="94">
        <f ca="1">TblConstr[[#This Row],[Land]]</f>
        <v>50</v>
      </c>
      <c r="F80" s="94">
        <f ca="1">TblPop[[#This Row],[Peasants]]</f>
        <v>221</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187759</v>
      </c>
      <c r="I80" s="94">
        <f ca="1">OFFSET(TblProd[[#This Row],[Food]],-1,0)+OFFSET(TblProd[[#This Row],[Food/hr]],-1,0)+ROUNDUP((TblConstr[[#This Row],[Farms]]*80+TblConstr[[#This Row],[Docks]]*35)*(1+OFFSET(TblProd[[#This Row],[Bonus Food/hr]],-1,0)),0)</f>
        <v>134522</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MAX(3750,_xlfn.CEILING.MATH(TblProd[[#This Row],[Land]]*2.5+OFFSET(TblTech[[#This Row],[Sum of tech]],-1,0)*150))</f>
        <v>3750</v>
      </c>
      <c r="R80" s="142"/>
      <c r="S80" s="94">
        <f ca="1">ROUNDDOWN(TblProd[[#This Row],[Raw Plat/hr]]*(1+TblProd[[#This Row],[Bonus Plat/hr]]),0)</f>
        <v>596</v>
      </c>
      <c r="T80" s="94">
        <f ca="1">ROUND(TblProd[[#This Row],[Raw Food/hr]]*(1+TblProd[[#This Row],[Bonus Food/hr]])-TblProd[[#This Row],[Food decay]]-TblProd[[#This Row],[Food eaten]],0)</f>
        <v>1043</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596.70000000000005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1345.22</v>
      </c>
      <c r="AP80" s="94">
        <f ca="1">(1+race_food_consumption)*TblPop[[#This Row],[Total]]*food_per_person*(1+tech_1_10*TblTech[[#This Row],[1-10]]+tech_7_5*TblTech[[#This Row],[7-5]] + IF(TblMagic[[#This Row],[Active Demonic Pact]]&gt;0,demonic_pact_food_cons,0))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29</v>
      </c>
      <c r="BC80" s="158">
        <f>-TblProd[[#This Row],[Bank Lumber]] / 2 + -TblProd[[#This Row],[Bank Gems]] * 2 + -TblProd[[#This Row],[Bank Ore]] / 2</f>
        <v>0</v>
      </c>
      <c r="BD80" s="158"/>
      <c r="BE80" s="158"/>
      <c r="BF80" s="158"/>
      <c r="BG80" s="159">
        <f ca="1">TblProd[[#This Row],[Time]]</f>
        <v>45818.166666666482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187759</v>
      </c>
      <c r="BJ80" s="94">
        <f ca="1">TblProd[[#This Row],[Food]]</f>
        <v>134522</v>
      </c>
      <c r="BK80" s="94">
        <f ca="1">TblProd[[#This Row],[Lumber]]</f>
        <v>60398</v>
      </c>
      <c r="BL80" s="94">
        <f ca="1">TblProd[[#This Row],[Mana]]</f>
        <v>0</v>
      </c>
      <c r="BM80" s="94">
        <f ca="1">TblProd[[#This Row],[Ore]]</f>
        <v>0</v>
      </c>
    </row>
    <row r="81" spans="1:65" x14ac:dyDescent="0.2">
      <c r="A81" s="137">
        <f t="shared" si="0"/>
        <v>30</v>
      </c>
      <c r="B81" s="152">
        <f ca="1">TblImps[[#This Row],[Time]]</f>
        <v>45818.208333333147</v>
      </c>
      <c r="C81" s="153"/>
      <c r="D81" s="154"/>
      <c r="E81" s="94">
        <f ca="1">TblConstr[[#This Row],[Land]]</f>
        <v>50</v>
      </c>
      <c r="F81" s="94">
        <f ca="1">TblPop[[#This Row],[Peasants]]</f>
        <v>219</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188355</v>
      </c>
      <c r="I81" s="94">
        <f ca="1">OFFSET(TblProd[[#This Row],[Food]],-1,0)+OFFSET(TblProd[[#This Row],[Food/hr]],-1,0)+ROUNDUP((TblConstr[[#This Row],[Farms]]*80+TblConstr[[#This Row],[Docks]]*35)*(1+OFFSET(TblProd[[#This Row],[Bonus Food/hr]],-1,0)),0)</f>
        <v>135565</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MAX(3750,_xlfn.CEILING.MATH(TblProd[[#This Row],[Land]]*2.5+OFFSET(TblTech[[#This Row],[Sum of tech]],-1,0)*150))</f>
        <v>3750</v>
      </c>
      <c r="R81" s="142"/>
      <c r="S81" s="94">
        <f ca="1">ROUNDDOWN(TblProd[[#This Row],[Raw Plat/hr]]*(1+TblProd[[#This Row],[Bonus Plat/hr]]),0)</f>
        <v>591</v>
      </c>
      <c r="T81" s="94">
        <f ca="1">ROUND(TblProd[[#This Row],[Raw Food/hr]]*(1+TblProd[[#This Row],[Bonus Food/hr]])-TblProd[[#This Row],[Food decay]]-TblProd[[#This Row],[Food eaten]],0)</f>
        <v>1032</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591.30000000000007</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1355.65</v>
      </c>
      <c r="AP81" s="94">
        <f ca="1">(1+race_food_consumption)*TblPop[[#This Row],[Total]]*food_per_person*(1+tech_1_10*TblTech[[#This Row],[1-10]]+tech_7_5*TblTech[[#This Row],[7-5]] + IF(TblMagic[[#This Row],[Active Demonic Pact]]&gt;0,demonic_pact_food_cons,0))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30</v>
      </c>
      <c r="BC81" s="158">
        <f>-TblProd[[#This Row],[Bank Lumber]] / 2 + -TblProd[[#This Row],[Bank Gems]] * 2 + -TblProd[[#This Row],[Bank Ore]] / 2</f>
        <v>0</v>
      </c>
      <c r="BD81" s="158"/>
      <c r="BE81" s="158"/>
      <c r="BF81" s="158"/>
      <c r="BG81" s="159">
        <f ca="1">TblProd[[#This Row],[Time]]</f>
        <v>45818.208333333147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188355</v>
      </c>
      <c r="BJ81" s="94">
        <f ca="1">TblProd[[#This Row],[Food]]</f>
        <v>135565</v>
      </c>
      <c r="BK81" s="94">
        <f ca="1">TblProd[[#This Row],[Lumber]]</f>
        <v>60794</v>
      </c>
      <c r="BL81" s="94">
        <f ca="1">TblProd[[#This Row],[Mana]]</f>
        <v>0</v>
      </c>
      <c r="BM81" s="94">
        <f ca="1">TblProd[[#This Row],[Ore]]</f>
        <v>0</v>
      </c>
    </row>
    <row r="82" spans="1:65" x14ac:dyDescent="0.2">
      <c r="A82" s="137">
        <f t="shared" si="0"/>
        <v>31</v>
      </c>
      <c r="B82" s="152">
        <f ca="1">TblImps[[#This Row],[Time]]</f>
        <v>45818.249999999811</v>
      </c>
      <c r="C82" s="153"/>
      <c r="D82" s="154"/>
      <c r="E82" s="94">
        <f ca="1">TblConstr[[#This Row],[Land]]</f>
        <v>50</v>
      </c>
      <c r="F82" s="94">
        <f ca="1">TblPop[[#This Row],[Peasants]]</f>
        <v>217</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188946</v>
      </c>
      <c r="I82" s="94">
        <f ca="1">OFFSET(TblProd[[#This Row],[Food]],-1,0)+OFFSET(TblProd[[#This Row],[Food/hr]],-1,0)+ROUNDUP((TblConstr[[#This Row],[Farms]]*80+TblConstr[[#This Row],[Docks]]*35)*(1+OFFSET(TblProd[[#This Row],[Bonus Food/hr]],-1,0)),0)</f>
        <v>136597</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MAX(3750,_xlfn.CEILING.MATH(TblProd[[#This Row],[Land]]*2.5+OFFSET(TblTech[[#This Row],[Sum of tech]],-1,0)*150))</f>
        <v>3750</v>
      </c>
      <c r="R82" s="142"/>
      <c r="S82" s="94">
        <f ca="1">ROUNDDOWN(TblProd[[#This Row],[Raw Plat/hr]]*(1+TblProd[[#This Row],[Bonus Plat/hr]]),0)</f>
        <v>585</v>
      </c>
      <c r="T82" s="94">
        <f ca="1">ROUND(TblProd[[#This Row],[Raw Food/hr]]*(1+TblProd[[#This Row],[Bonus Food/hr]])-TblProd[[#This Row],[Food decay]]-TblProd[[#This Row],[Food eaten]],0)</f>
        <v>1022</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585.90000000000009</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1365.97</v>
      </c>
      <c r="AP82" s="94">
        <f ca="1">(1+race_food_consumption)*TblPop[[#This Row],[Total]]*food_per_person*(1+tech_1_10*TblTech[[#This Row],[1-10]]+tech_7_5*TblTech[[#This Row],[7-5]] + IF(TblMagic[[#This Row],[Active Demonic Pact]]&gt;0,demonic_pact_food_cons,0))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31</v>
      </c>
      <c r="BC82" s="158">
        <f>-TblProd[[#This Row],[Bank Lumber]] / 2 + -TblProd[[#This Row],[Bank Gems]] * 2 + -TblProd[[#This Row],[Bank Ore]] / 2</f>
        <v>0</v>
      </c>
      <c r="BD82" s="158"/>
      <c r="BE82" s="158"/>
      <c r="BF82" s="158"/>
      <c r="BG82" s="159">
        <f ca="1">TblProd[[#This Row],[Time]]</f>
        <v>45818.249999999811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188946</v>
      </c>
      <c r="BJ82" s="94">
        <f ca="1">TblProd[[#This Row],[Food]]</f>
        <v>136597</v>
      </c>
      <c r="BK82" s="94">
        <f ca="1">TblProd[[#This Row],[Lumber]]</f>
        <v>61186</v>
      </c>
      <c r="BL82" s="94">
        <f ca="1">TblProd[[#This Row],[Mana]]</f>
        <v>0</v>
      </c>
      <c r="BM82" s="94">
        <f ca="1">TblProd[[#This Row],[Ore]]</f>
        <v>0</v>
      </c>
    </row>
    <row r="83" spans="1:65" x14ac:dyDescent="0.2">
      <c r="A83" s="137">
        <f t="shared" si="0"/>
        <v>32</v>
      </c>
      <c r="B83" s="152">
        <f ca="1">TblImps[[#This Row],[Time]]</f>
        <v>45818.291666666475</v>
      </c>
      <c r="C83" s="153"/>
      <c r="D83" s="154"/>
      <c r="E83" s="94">
        <f ca="1">TblConstr[[#This Row],[Land]]</f>
        <v>50</v>
      </c>
      <c r="F83" s="94">
        <f ca="1">TblPop[[#This Row],[Peasants]]</f>
        <v>215</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189531</v>
      </c>
      <c r="I83" s="94">
        <f ca="1">OFFSET(TblProd[[#This Row],[Food]],-1,0)+OFFSET(TblProd[[#This Row],[Food/hr]],-1,0)+ROUNDUP((TblConstr[[#This Row],[Farms]]*80+TblConstr[[#This Row],[Docks]]*35)*(1+OFFSET(TblProd[[#This Row],[Bonus Food/hr]],-1,0)),0)</f>
        <v>137619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MAX(3750,_xlfn.CEILING.MATH(TblProd[[#This Row],[Land]]*2.5+OFFSET(TblTech[[#This Row],[Sum of tech]],-1,0)*150))</f>
        <v>3750</v>
      </c>
      <c r="R83" s="142"/>
      <c r="S83" s="94">
        <f ca="1">ROUNDDOWN(TblProd[[#This Row],[Raw Plat/hr]]*(1+TblProd[[#This Row],[Bonus Plat/hr]]),0)</f>
        <v>580</v>
      </c>
      <c r="T83" s="94">
        <f ca="1">ROUND(TblProd[[#This Row],[Raw Food/hr]]*(1+TblProd[[#This Row],[Bonus Food/hr]])-TblProd[[#This Row],[Food decay]]-TblProd[[#This Row],[Food eaten]],0)</f>
        <v>1012</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580.5</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1376.19</v>
      </c>
      <c r="AP83" s="94">
        <f ca="1">(1+race_food_consumption)*TblPop[[#This Row],[Total]]*food_per_person*(1+tech_1_10*TblTech[[#This Row],[1-10]]+tech_7_5*TblTech[[#This Row],[7-5]] + IF(TblMagic[[#This Row],[Active Demonic Pact]]&gt;0,demonic_pact_food_cons,0))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32</v>
      </c>
      <c r="BC83" s="158">
        <f>-TblProd[[#This Row],[Bank Lumber]] / 2 + -TblProd[[#This Row],[Bank Gems]] * 2 + -TblProd[[#This Row],[Bank Ore]] / 2</f>
        <v>0</v>
      </c>
      <c r="BD83" s="158"/>
      <c r="BE83" s="158"/>
      <c r="BF83" s="158"/>
      <c r="BG83" s="159">
        <f ca="1">TblProd[[#This Row],[Time]]</f>
        <v>45818.291666666475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189531</v>
      </c>
      <c r="BJ83" s="94">
        <f ca="1">TblProd[[#This Row],[Food]]</f>
        <v>137619</v>
      </c>
      <c r="BK83" s="94">
        <f ca="1">TblProd[[#This Row],[Lumber]]</f>
        <v>61574</v>
      </c>
      <c r="BL83" s="94">
        <f ca="1">TblProd[[#This Row],[Mana]]</f>
        <v>0</v>
      </c>
      <c r="BM83" s="94">
        <f ca="1">TblProd[[#This Row],[Ore]]</f>
        <v>0</v>
      </c>
    </row>
    <row r="84" spans="1:65" x14ac:dyDescent="0.2">
      <c r="A84" s="137">
        <f t="shared" si="0"/>
        <v>33</v>
      </c>
      <c r="B84" s="152">
        <f ca="1">TblImps[[#This Row],[Time]]</f>
        <v>45818.333333333139</v>
      </c>
      <c r="C84" s="153"/>
      <c r="D84" s="154"/>
      <c r="E84" s="94">
        <f ca="1">TblConstr[[#This Row],[Land]]</f>
        <v>50</v>
      </c>
      <c r="F84" s="94">
        <f ca="1">TblPop[[#This Row],[Peasants]]</f>
        <v>213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190111</v>
      </c>
      <c r="I84" s="94">
        <f ca="1">OFFSET(TblProd[[#This Row],[Food]],-1,0)+OFFSET(TblProd[[#This Row],[Food/hr]],-1,0)+ROUNDUP((TblConstr[[#This Row],[Farms]]*80+TblConstr[[#This Row],[Docks]]*35)*(1+OFFSET(TblProd[[#This Row],[Bonus Food/hr]],-1,0)),0)</f>
        <v>138631</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MAX(3750,_xlfn.CEILING.MATH(TblProd[[#This Row],[Land]]*2.5+OFFSET(TblTech[[#This Row],[Sum of tech]],-1,0)*150))</f>
        <v>3750</v>
      </c>
      <c r="R84" s="142"/>
      <c r="S84" s="94">
        <f ca="1">ROUNDDOWN(TblProd[[#This Row],[Raw Plat/hr]]*(1+TblProd[[#This Row],[Bonus Plat/hr]]),0)</f>
        <v>575</v>
      </c>
      <c r="T84" s="94">
        <f ca="1">ROUND(TblProd[[#This Row],[Raw Food/hr]]*(1+TblProd[[#This Row],[Bonus Food/hr]])-TblProd[[#This Row],[Food decay]]-TblProd[[#This Row],[Food eaten]],0)</f>
        <v>1001</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575.1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1386.31</v>
      </c>
      <c r="AP84" s="94">
        <f ca="1">(1+race_food_consumption)*TblPop[[#This Row],[Total]]*food_per_person*(1+tech_1_10*TblTech[[#This Row],[1-10]]+tech_7_5*TblTech[[#This Row],[7-5]] + IF(TblMagic[[#This Row],[Active Demonic Pact]]&gt;0,demonic_pact_food_cons,0))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33</v>
      </c>
      <c r="BC84" s="158">
        <f>-TblProd[[#This Row],[Bank Lumber]] / 2 + -TblProd[[#This Row],[Bank Gems]] * 2 + -TblProd[[#This Row],[Bank Ore]] / 2</f>
        <v>0</v>
      </c>
      <c r="BD84" s="158"/>
      <c r="BE84" s="158"/>
      <c r="BF84" s="158"/>
      <c r="BG84" s="159">
        <f ca="1">TblProd[[#This Row],[Time]]</f>
        <v>45818.333333333139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190111</v>
      </c>
      <c r="BJ84" s="94">
        <f ca="1">TblProd[[#This Row],[Food]]</f>
        <v>138631</v>
      </c>
      <c r="BK84" s="94">
        <f ca="1">TblProd[[#This Row],[Lumber]]</f>
        <v>61958</v>
      </c>
      <c r="BL84" s="94">
        <f ca="1">TblProd[[#This Row],[Mana]]</f>
        <v>0</v>
      </c>
      <c r="BM84" s="94">
        <f ca="1">TblProd[[#This Row],[Ore]]</f>
        <v>0</v>
      </c>
    </row>
    <row r="85" spans="1:65" x14ac:dyDescent="0.2">
      <c r="A85" s="137">
        <f t="shared" si="0"/>
        <v>34</v>
      </c>
      <c r="B85" s="152">
        <f ca="1">TblImps[[#This Row],[Time]]</f>
        <v>45818.374999999804</v>
      </c>
      <c r="C85" s="153"/>
      <c r="D85" s="154"/>
      <c r="E85" s="94">
        <f ca="1">TblConstr[[#This Row],[Land]]</f>
        <v>50</v>
      </c>
      <c r="F85" s="94">
        <f ca="1">TblPop[[#This Row],[Peasants]]</f>
        <v>211</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190686</v>
      </c>
      <c r="I85" s="94">
        <f ca="1">OFFSET(TblProd[[#This Row],[Food]],-1,0)+OFFSET(TblProd[[#This Row],[Food/hr]],-1,0)+ROUNDUP((TblConstr[[#This Row],[Farms]]*80+TblConstr[[#This Row],[Docks]]*35)*(1+OFFSET(TblProd[[#This Row],[Bonus Food/hr]],-1,0)),0)</f>
        <v>139632</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MAX(3750,_xlfn.CEILING.MATH(TblProd[[#This Row],[Land]]*2.5+OFFSET(TblTech[[#This Row],[Sum of tech]],-1,0)*150))</f>
        <v>3750</v>
      </c>
      <c r="R85" s="142"/>
      <c r="S85" s="94">
        <f ca="1">ROUNDDOWN(TblProd[[#This Row],[Raw Plat/hr]]*(1+TblProd[[#This Row],[Bonus Plat/hr]]),0)</f>
        <v>569</v>
      </c>
      <c r="T85" s="94">
        <f ca="1">ROUND(TblProd[[#This Row],[Raw Food/hr]]*(1+TblProd[[#This Row],[Bonus Food/hr]])-TblProd[[#This Row],[Food decay]]-TblProd[[#This Row],[Food eaten]],0)</f>
        <v>991</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569.70000000000005</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1396.32</v>
      </c>
      <c r="AP85" s="94">
        <f ca="1">(1+race_food_consumption)*TblPop[[#This Row],[Total]]*food_per_person*(1+tech_1_10*TblTech[[#This Row],[1-10]]+tech_7_5*TblTech[[#This Row],[7-5]] + IF(TblMagic[[#This Row],[Active Demonic Pact]]&gt;0,demonic_pact_food_cons,0))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34</v>
      </c>
      <c r="BC85" s="158">
        <f>-TblProd[[#This Row],[Bank Lumber]] / 2 + -TblProd[[#This Row],[Bank Gems]] * 2 + -TblProd[[#This Row],[Bank Ore]] / 2</f>
        <v>0</v>
      </c>
      <c r="BD85" s="158"/>
      <c r="BE85" s="158"/>
      <c r="BF85" s="158"/>
      <c r="BG85" s="159">
        <f ca="1">TblProd[[#This Row],[Time]]</f>
        <v>45818.374999999804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190686</v>
      </c>
      <c r="BJ85" s="94">
        <f ca="1">TblProd[[#This Row],[Food]]</f>
        <v>139632</v>
      </c>
      <c r="BK85" s="94">
        <f ca="1">TblProd[[#This Row],[Lumber]]</f>
        <v>62338</v>
      </c>
      <c r="BL85" s="94">
        <f ca="1">TblProd[[#This Row],[Mana]]</f>
        <v>0</v>
      </c>
      <c r="BM85" s="94">
        <f ca="1">TblProd[[#This Row],[Ore]]</f>
        <v>0</v>
      </c>
    </row>
    <row r="86" spans="1:65" x14ac:dyDescent="0.2">
      <c r="A86" s="137">
        <f t="shared" si="0"/>
        <v>35</v>
      </c>
      <c r="B86" s="152">
        <f ca="1">TblImps[[#This Row],[Time]]</f>
        <v>45818.416666666468</v>
      </c>
      <c r="C86" s="153"/>
      <c r="D86" s="154"/>
      <c r="E86" s="94">
        <f ca="1">TblConstr[[#This Row],[Land]]</f>
        <v>50</v>
      </c>
      <c r="F86" s="94">
        <f ca="1">TblPop[[#This Row],[Peasants]]</f>
        <v>209</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191255</v>
      </c>
      <c r="I86" s="94">
        <f ca="1">OFFSET(TblProd[[#This Row],[Food]],-1,0)+OFFSET(TblProd[[#This Row],[Food/hr]],-1,0)+ROUNDUP((TblConstr[[#This Row],[Farms]]*80+TblConstr[[#This Row],[Docks]]*35)*(1+OFFSET(TblProd[[#This Row],[Bonus Food/hr]],-1,0)),0)</f>
        <v>140623</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MAX(3750,_xlfn.CEILING.MATH(TblProd[[#This Row],[Land]]*2.5+OFFSET(TblTech[[#This Row],[Sum of tech]],-1,0)*150))</f>
        <v>3750</v>
      </c>
      <c r="R86" s="142"/>
      <c r="S86" s="94">
        <f ca="1">ROUNDDOWN(TblProd[[#This Row],[Raw Plat/hr]]*(1+TblProd[[#This Row],[Bonus Plat/hr]]),0)</f>
        <v>564</v>
      </c>
      <c r="T86" s="94">
        <f ca="1">ROUND(TblProd[[#This Row],[Raw Food/hr]]*(1+TblProd[[#This Row],[Bonus Food/hr]])-TblProd[[#This Row],[Food decay]]-TblProd[[#This Row],[Food eaten]],0)</f>
        <v>982</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564.30000000000007</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1406.23</v>
      </c>
      <c r="AP86" s="94">
        <f ca="1">(1+race_food_consumption)*TblPop[[#This Row],[Total]]*food_per_person*(1+tech_1_10*TblTech[[#This Row],[1-10]]+tech_7_5*TblTech[[#This Row],[7-5]] + IF(TblMagic[[#This Row],[Active Demonic Pact]]&gt;0,demonic_pact_food_cons,0))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35</v>
      </c>
      <c r="BC86" s="158">
        <f>-TblProd[[#This Row],[Bank Lumber]] / 2 + -TblProd[[#This Row],[Bank Gems]] * 2 + -TblProd[[#This Row],[Bank Ore]] / 2</f>
        <v>0</v>
      </c>
      <c r="BD86" s="158"/>
      <c r="BE86" s="158"/>
      <c r="BF86" s="158"/>
      <c r="BG86" s="159">
        <f ca="1">TblProd[[#This Row],[Time]]</f>
        <v>45818.416666666468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191255</v>
      </c>
      <c r="BJ86" s="94">
        <f ca="1">TblProd[[#This Row],[Food]]</f>
        <v>140623</v>
      </c>
      <c r="BK86" s="94">
        <f ca="1">TblProd[[#This Row],[Lumber]]</f>
        <v>62715</v>
      </c>
      <c r="BL86" s="94">
        <f ca="1">TblProd[[#This Row],[Mana]]</f>
        <v>0</v>
      </c>
      <c r="BM86" s="94">
        <f ca="1">TblProd[[#This Row],[Ore]]</f>
        <v>0</v>
      </c>
    </row>
    <row r="87" spans="1:65" x14ac:dyDescent="0.2">
      <c r="A87" s="137">
        <f t="shared" si="0"/>
        <v>36</v>
      </c>
      <c r="B87" s="152">
        <f ca="1">TblImps[[#This Row],[Time]]</f>
        <v>45818.458333333132</v>
      </c>
      <c r="C87" s="153"/>
      <c r="D87" s="154"/>
      <c r="E87" s="94">
        <f ca="1">TblConstr[[#This Row],[Land]]</f>
        <v>50</v>
      </c>
      <c r="F87" s="94">
        <f ca="1">TblPop[[#This Row],[Peasants]]</f>
        <v>207</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191819</v>
      </c>
      <c r="I87" s="94">
        <f ca="1">OFFSET(TblProd[[#This Row],[Food]],-1,0)+OFFSET(TblProd[[#This Row],[Food/hr]],-1,0)+ROUNDUP((TblConstr[[#This Row],[Farms]]*80+TblConstr[[#This Row],[Docks]]*35)*(1+OFFSET(TblProd[[#This Row],[Bonus Food/hr]],-1,0)),0)</f>
        <v>141605</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MAX(3750,_xlfn.CEILING.MATH(TblProd[[#This Row],[Land]]*2.5+OFFSET(TblTech[[#This Row],[Sum of tech]],-1,0)*150))</f>
        <v>3750</v>
      </c>
      <c r="R87" s="142"/>
      <c r="S87" s="94">
        <f ca="1">ROUNDDOWN(TblProd[[#This Row],[Raw Plat/hr]]*(1+TblProd[[#This Row],[Bonus Plat/hr]]),0)</f>
        <v>558</v>
      </c>
      <c r="T87" s="94">
        <f ca="1">ROUND(TblProd[[#This Row],[Raw Food/hr]]*(1+TblProd[[#This Row],[Bonus Food/hr]])-TblProd[[#This Row],[Food decay]]-TblProd[[#This Row],[Food eaten]],0)</f>
        <v>972</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558.90000000000009</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1416.05</v>
      </c>
      <c r="AP87" s="94">
        <f ca="1">(1+race_food_consumption)*TblPop[[#This Row],[Total]]*food_per_person*(1+tech_1_10*TblTech[[#This Row],[1-10]]+tech_7_5*TblTech[[#This Row],[7-5]] + IF(TblMagic[[#This Row],[Active Demonic Pact]]&gt;0,demonic_pact_food_cons,0))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36</v>
      </c>
      <c r="BC87" s="158">
        <f>-TblProd[[#This Row],[Bank Lumber]] / 2 + -TblProd[[#This Row],[Bank Gems]] * 2 + -TblProd[[#This Row],[Bank Ore]] / 2</f>
        <v>0</v>
      </c>
      <c r="BD87" s="158"/>
      <c r="BE87" s="158"/>
      <c r="BF87" s="158"/>
      <c r="BG87" s="159">
        <f ca="1">TblProd[[#This Row],[Time]]</f>
        <v>45818.458333333132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191819</v>
      </c>
      <c r="BJ87" s="94">
        <f ca="1">TblProd[[#This Row],[Food]]</f>
        <v>141605</v>
      </c>
      <c r="BK87" s="94">
        <f ca="1">TblProd[[#This Row],[Lumber]]</f>
        <v>63088</v>
      </c>
      <c r="BL87" s="94">
        <f ca="1">TblProd[[#This Row],[Mana]]</f>
        <v>0</v>
      </c>
      <c r="BM87" s="94">
        <f ca="1">TblProd[[#This Row],[Ore]]</f>
        <v>0</v>
      </c>
    </row>
    <row r="88" spans="1:65" x14ac:dyDescent="0.2">
      <c r="A88" s="137">
        <f t="shared" si="0"/>
        <v>37</v>
      </c>
      <c r="B88" s="152">
        <f ca="1">TblImps[[#This Row],[Time]]</f>
        <v>45818.499999999796</v>
      </c>
      <c r="C88" s="153"/>
      <c r="D88" s="154"/>
      <c r="E88" s="94">
        <f ca="1">TblConstr[[#This Row],[Land]]</f>
        <v>50</v>
      </c>
      <c r="F88" s="94">
        <f ca="1">TblPop[[#This Row],[Peasants]]</f>
        <v>205</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192377</v>
      </c>
      <c r="I88" s="94">
        <f ca="1">OFFSET(TblProd[[#This Row],[Food]],-1,0)+OFFSET(TblProd[[#This Row],[Food/hr]],-1,0)+ROUNDUP((TblConstr[[#This Row],[Farms]]*80+TblConstr[[#This Row],[Docks]]*35)*(1+OFFSET(TblProd[[#This Row],[Bonus Food/hr]],-1,0)),0)</f>
        <v>142577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MAX(3750,_xlfn.CEILING.MATH(TblProd[[#This Row],[Land]]*2.5+OFFSET(TblTech[[#This Row],[Sum of tech]],-1,0)*150))</f>
        <v>3750</v>
      </c>
      <c r="R88" s="142"/>
      <c r="S88" s="94">
        <f ca="1">ROUNDDOWN(TblProd[[#This Row],[Raw Plat/hr]]*(1+TblProd[[#This Row],[Bonus Plat/hr]]),0)</f>
        <v>553</v>
      </c>
      <c r="T88" s="94">
        <f ca="1">ROUND(TblProd[[#This Row],[Raw Food/hr]]*(1+TblProd[[#This Row],[Bonus Food/hr]])-TblProd[[#This Row],[Food decay]]-TblProd[[#This Row],[Food eaten]],0)</f>
        <v>962</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553.5</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1425.77</v>
      </c>
      <c r="AP88" s="94">
        <f ca="1">(1+race_food_consumption)*TblPop[[#This Row],[Total]]*food_per_person*(1+tech_1_10*TblTech[[#This Row],[1-10]]+tech_7_5*TblTech[[#This Row],[7-5]] + IF(TblMagic[[#This Row],[Active Demonic Pact]]&gt;0,demonic_pact_food_cons,0))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37</v>
      </c>
      <c r="BC88" s="158">
        <f>-TblProd[[#This Row],[Bank Lumber]] / 2 + -TblProd[[#This Row],[Bank Gems]] * 2 + -TblProd[[#This Row],[Bank Ore]] / 2</f>
        <v>0</v>
      </c>
      <c r="BD88" s="158"/>
      <c r="BE88" s="158"/>
      <c r="BF88" s="158"/>
      <c r="BG88" s="159">
        <f ca="1">TblProd[[#This Row],[Time]]</f>
        <v>45818.499999999796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192377</v>
      </c>
      <c r="BJ88" s="94">
        <f ca="1">TblProd[[#This Row],[Food]]</f>
        <v>142577</v>
      </c>
      <c r="BK88" s="94">
        <f ca="1">TblProd[[#This Row],[Lumber]]</f>
        <v>63457</v>
      </c>
      <c r="BL88" s="94">
        <f ca="1">TblProd[[#This Row],[Mana]]</f>
        <v>0</v>
      </c>
      <c r="BM88" s="94">
        <f ca="1">TblProd[[#This Row],[Ore]]</f>
        <v>0</v>
      </c>
    </row>
    <row r="89" spans="1:65" x14ac:dyDescent="0.2">
      <c r="A89" s="137">
        <f t="shared" si="0"/>
        <v>38</v>
      </c>
      <c r="B89" s="152">
        <f ca="1">TblImps[[#This Row],[Time]]</f>
        <v>45818.541666666461</v>
      </c>
      <c r="C89" s="153"/>
      <c r="D89" s="154"/>
      <c r="E89" s="94">
        <f ca="1">TblConstr[[#This Row],[Land]]</f>
        <v>50</v>
      </c>
      <c r="F89" s="94">
        <f ca="1">TblPop[[#This Row],[Peasants]]</f>
        <v>203</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192930</v>
      </c>
      <c r="I89" s="94">
        <f ca="1">OFFSET(TblProd[[#This Row],[Food]],-1,0)+OFFSET(TblProd[[#This Row],[Food/hr]],-1,0)+ROUNDUP((TblConstr[[#This Row],[Farms]]*80+TblConstr[[#This Row],[Docks]]*35)*(1+OFFSET(TblProd[[#This Row],[Bonus Food/hr]],-1,0)),0)</f>
        <v>143539</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MAX(3750,_xlfn.CEILING.MATH(TblProd[[#This Row],[Land]]*2.5+OFFSET(TblTech[[#This Row],[Sum of tech]],-1,0)*150))</f>
        <v>3750</v>
      </c>
      <c r="R89" s="142"/>
      <c r="S89" s="94">
        <f ca="1">ROUNDDOWN(TblProd[[#This Row],[Raw Plat/hr]]*(1+TblProd[[#This Row],[Bonus Plat/hr]]),0)</f>
        <v>548</v>
      </c>
      <c r="T89" s="94">
        <f ca="1">ROUND(TblProd[[#This Row],[Raw Food/hr]]*(1+TblProd[[#This Row],[Bonus Food/hr]])-TblProd[[#This Row],[Food decay]]-TblProd[[#This Row],[Food eaten]],0)</f>
        <v>952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548.1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1435.39</v>
      </c>
      <c r="AP89" s="94">
        <f ca="1">(1+race_food_consumption)*TblPop[[#This Row],[Total]]*food_per_person*(1+tech_1_10*TblTech[[#This Row],[1-10]]+tech_7_5*TblTech[[#This Row],[7-5]] + IF(TblMagic[[#This Row],[Active Demonic Pact]]&gt;0,demonic_pact_food_cons,0))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38</v>
      </c>
      <c r="BC89" s="158">
        <f>-TblProd[[#This Row],[Bank Lumber]] / 2 + -TblProd[[#This Row],[Bank Gems]] * 2 + -TblProd[[#This Row],[Bank Ore]] / 2</f>
        <v>0</v>
      </c>
      <c r="BD89" s="158"/>
      <c r="BE89" s="158"/>
      <c r="BF89" s="158"/>
      <c r="BG89" s="159">
        <f ca="1">TblProd[[#This Row],[Time]]</f>
        <v>45818.541666666461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192930</v>
      </c>
      <c r="BJ89" s="94">
        <f ca="1">TblProd[[#This Row],[Food]]</f>
        <v>143539</v>
      </c>
      <c r="BK89" s="94">
        <f ca="1">TblProd[[#This Row],[Lumber]]</f>
        <v>63822</v>
      </c>
      <c r="BL89" s="94">
        <f ca="1">TblProd[[#This Row],[Mana]]</f>
        <v>0</v>
      </c>
      <c r="BM89" s="94">
        <f ca="1">TblProd[[#This Row],[Ore]]</f>
        <v>0</v>
      </c>
    </row>
    <row r="90" spans="1:65" x14ac:dyDescent="0.2">
      <c r="A90" s="137">
        <f t="shared" si="0"/>
        <v>39</v>
      </c>
      <c r="B90" s="152">
        <f ca="1">TblImps[[#This Row],[Time]]</f>
        <v>45818.583333333125</v>
      </c>
      <c r="C90" s="153"/>
      <c r="D90" s="154"/>
      <c r="E90" s="94">
        <f ca="1">TblConstr[[#This Row],[Land]]</f>
        <v>50</v>
      </c>
      <c r="F90" s="94">
        <f ca="1">TblPop[[#This Row],[Peasants]]</f>
        <v>201</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193478</v>
      </c>
      <c r="I90" s="94">
        <f ca="1">OFFSET(TblProd[[#This Row],[Food]],-1,0)+OFFSET(TblProd[[#This Row],[Food/hr]],-1,0)+ROUNDUP((TblConstr[[#This Row],[Farms]]*80+TblConstr[[#This Row],[Docks]]*35)*(1+OFFSET(TblProd[[#This Row],[Bonus Food/hr]],-1,0)),0)</f>
        <v>144491</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MAX(3750,_xlfn.CEILING.MATH(TblProd[[#This Row],[Land]]*2.5+OFFSET(TblTech[[#This Row],[Sum of tech]],-1,0)*150))</f>
        <v>3750</v>
      </c>
      <c r="R90" s="142"/>
      <c r="S90" s="94">
        <f ca="1">ROUNDDOWN(TblProd[[#This Row],[Raw Plat/hr]]*(1+TblProd[[#This Row],[Bonus Plat/hr]]),0)</f>
        <v>542</v>
      </c>
      <c r="T90" s="94">
        <f ca="1">ROUND(TblProd[[#This Row],[Raw Food/hr]]*(1+TblProd[[#This Row],[Bonus Food/hr]])-TblProd[[#This Row],[Food decay]]-TblProd[[#This Row],[Food eaten]],0)</f>
        <v>943</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542.70000000000005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1444.91</v>
      </c>
      <c r="AP90" s="94">
        <f ca="1">(1+race_food_consumption)*TblPop[[#This Row],[Total]]*food_per_person*(1+tech_1_10*TblTech[[#This Row],[1-10]]+tech_7_5*TblTech[[#This Row],[7-5]] + IF(TblMagic[[#This Row],[Active Demonic Pact]]&gt;0,demonic_pact_food_cons,0))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39</v>
      </c>
      <c r="BC90" s="158">
        <f>-TblProd[[#This Row],[Bank Lumber]] / 2 + -TblProd[[#This Row],[Bank Gems]] * 2 + -TblProd[[#This Row],[Bank Ore]] / 2</f>
        <v>0</v>
      </c>
      <c r="BD90" s="158"/>
      <c r="BE90" s="158"/>
      <c r="BF90" s="158"/>
      <c r="BG90" s="159">
        <f ca="1">TblProd[[#This Row],[Time]]</f>
        <v>45818.583333333125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193478</v>
      </c>
      <c r="BJ90" s="94">
        <f ca="1">TblProd[[#This Row],[Food]]</f>
        <v>144491</v>
      </c>
      <c r="BK90" s="94">
        <f ca="1">TblProd[[#This Row],[Lumber]]</f>
        <v>64184</v>
      </c>
      <c r="BL90" s="94">
        <f ca="1">TblProd[[#This Row],[Mana]]</f>
        <v>0</v>
      </c>
      <c r="BM90" s="94">
        <f ca="1">TblProd[[#This Row],[Ore]]</f>
        <v>0</v>
      </c>
    </row>
    <row r="91" spans="1:65" x14ac:dyDescent="0.2">
      <c r="A91" s="137">
        <f t="shared" si="0"/>
        <v>40</v>
      </c>
      <c r="B91" s="152">
        <f ca="1">TblImps[[#This Row],[Time]]</f>
        <v>45818.624999999789</v>
      </c>
      <c r="C91" s="153"/>
      <c r="D91" s="154"/>
      <c r="E91" s="94">
        <f ca="1">TblConstr[[#This Row],[Land]]</f>
        <v>50</v>
      </c>
      <c r="F91" s="94">
        <f ca="1">TblPop[[#This Row],[Peasants]]</f>
        <v>199</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194020</v>
      </c>
      <c r="I91" s="94">
        <f ca="1">OFFSET(TblProd[[#This Row],[Food]],-1,0)+OFFSET(TblProd[[#This Row],[Food/hr]],-1,0)+ROUNDUP((TblConstr[[#This Row],[Farms]]*80+TblConstr[[#This Row],[Docks]]*35)*(1+OFFSET(TblProd[[#This Row],[Bonus Food/hr]],-1,0)),0)</f>
        <v>145434</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MAX(3750,_xlfn.CEILING.MATH(TblProd[[#This Row],[Land]]*2.5+OFFSET(TblTech[[#This Row],[Sum of tech]],-1,0)*150))</f>
        <v>3750</v>
      </c>
      <c r="R91" s="142"/>
      <c r="S91" s="94">
        <f ca="1">ROUNDDOWN(TblProd[[#This Row],[Raw Plat/hr]]*(1+TblProd[[#This Row],[Bonus Plat/hr]]),0)</f>
        <v>537</v>
      </c>
      <c r="T91" s="94">
        <f ca="1">ROUND(TblProd[[#This Row],[Raw Food/hr]]*(1+TblProd[[#This Row],[Bonus Food/hr]])-TblProd[[#This Row],[Food decay]]-TblProd[[#This Row],[Food eaten]],0)</f>
        <v>933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537.30000000000007</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1454.34</v>
      </c>
      <c r="AP91" s="94">
        <f ca="1">(1+race_food_consumption)*TblPop[[#This Row],[Total]]*food_per_person*(1+tech_1_10*TblTech[[#This Row],[1-10]]+tech_7_5*TblTech[[#This Row],[7-5]] + IF(TblMagic[[#This Row],[Active Demonic Pact]]&gt;0,demonic_pact_food_cons,0))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40</v>
      </c>
      <c r="BC91" s="158">
        <f>-TblProd[[#This Row],[Bank Lumber]] / 2 + -TblProd[[#This Row],[Bank Gems]] * 2 + -TblProd[[#This Row],[Bank Ore]] / 2</f>
        <v>0</v>
      </c>
      <c r="BD91" s="158"/>
      <c r="BE91" s="158"/>
      <c r="BF91" s="158"/>
      <c r="BG91" s="159">
        <f ca="1">TblProd[[#This Row],[Time]]</f>
        <v>45818.624999999789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194020</v>
      </c>
      <c r="BJ91" s="94">
        <f ca="1">TblProd[[#This Row],[Food]]</f>
        <v>145434</v>
      </c>
      <c r="BK91" s="94">
        <f ca="1">TblProd[[#This Row],[Lumber]]</f>
        <v>64542</v>
      </c>
      <c r="BL91" s="94">
        <f ca="1">TblProd[[#This Row],[Mana]]</f>
        <v>0</v>
      </c>
      <c r="BM91" s="94">
        <f ca="1">TblProd[[#This Row],[Ore]]</f>
        <v>0</v>
      </c>
    </row>
    <row r="92" spans="1:65" x14ac:dyDescent="0.2">
      <c r="A92" s="137">
        <f t="shared" si="0"/>
        <v>41</v>
      </c>
      <c r="B92" s="152">
        <f ca="1">TblImps[[#This Row],[Time]]</f>
        <v>45818.666666666453</v>
      </c>
      <c r="C92" s="153"/>
      <c r="D92" s="154"/>
      <c r="E92" s="94">
        <f ca="1">TblConstr[[#This Row],[Land]]</f>
        <v>50</v>
      </c>
      <c r="F92" s="94">
        <f ca="1">TblPop[[#This Row],[Peasants]]</f>
        <v>197</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194557</v>
      </c>
      <c r="I92" s="94">
        <f ca="1">OFFSET(TblProd[[#This Row],[Food]],-1,0)+OFFSET(TblProd[[#This Row],[Food/hr]],-1,0)+ROUNDUP((TblConstr[[#This Row],[Farms]]*80+TblConstr[[#This Row],[Docks]]*35)*(1+OFFSET(TblProd[[#This Row],[Bonus Food/hr]],-1,0)),0)</f>
        <v>146367</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MAX(3750,_xlfn.CEILING.MATH(TblProd[[#This Row],[Land]]*2.5+OFFSET(TblTech[[#This Row],[Sum of tech]],-1,0)*150))</f>
        <v>3750</v>
      </c>
      <c r="R92" s="142"/>
      <c r="S92" s="94">
        <f ca="1">ROUNDDOWN(TblProd[[#This Row],[Raw Plat/hr]]*(1+TblProd[[#This Row],[Bonus Plat/hr]]),0)</f>
        <v>531</v>
      </c>
      <c r="T92" s="94">
        <f ca="1">ROUND(TblProd[[#This Row],[Raw Food/hr]]*(1+TblProd[[#This Row],[Bonus Food/hr]])-TblProd[[#This Row],[Food decay]]-TblProd[[#This Row],[Food eaten]],0)</f>
        <v>924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531.90000000000009</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1463.67</v>
      </c>
      <c r="AP92" s="94">
        <f ca="1">(1+race_food_consumption)*TblPop[[#This Row],[Total]]*food_per_person*(1+tech_1_10*TblTech[[#This Row],[1-10]]+tech_7_5*TblTech[[#This Row],[7-5]] + IF(TblMagic[[#This Row],[Active Demonic Pact]]&gt;0,demonic_pact_food_cons,0))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41</v>
      </c>
      <c r="BC92" s="158">
        <f>-TblProd[[#This Row],[Bank Lumber]] / 2 + -TblProd[[#This Row],[Bank Gems]] * 2 + -TblProd[[#This Row],[Bank Ore]] / 2</f>
        <v>0</v>
      </c>
      <c r="BD92" s="158"/>
      <c r="BE92" s="158"/>
      <c r="BF92" s="158"/>
      <c r="BG92" s="159">
        <f ca="1">TblProd[[#This Row],[Time]]</f>
        <v>45818.666666666453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194557</v>
      </c>
      <c r="BJ92" s="94">
        <f ca="1">TblProd[[#This Row],[Food]]</f>
        <v>146367</v>
      </c>
      <c r="BK92" s="94">
        <f ca="1">TblProd[[#This Row],[Lumber]]</f>
        <v>64897</v>
      </c>
      <c r="BL92" s="94">
        <f ca="1">TblProd[[#This Row],[Mana]]</f>
        <v>0</v>
      </c>
      <c r="BM92" s="94">
        <f ca="1">TblProd[[#This Row],[Ore]]</f>
        <v>0</v>
      </c>
    </row>
    <row r="93" spans="1:65" x14ac:dyDescent="0.2">
      <c r="A93" s="137">
        <f t="shared" si="0"/>
        <v>42</v>
      </c>
      <c r="B93" s="152">
        <f ca="1">TblImps[[#This Row],[Time]]</f>
        <v>45818.708333333117</v>
      </c>
      <c r="C93" s="153"/>
      <c r="D93" s="154"/>
      <c r="E93" s="94">
        <f ca="1">TblConstr[[#This Row],[Land]]</f>
        <v>50</v>
      </c>
      <c r="F93" s="94">
        <f ca="1">TblPop[[#This Row],[Peasants]]</f>
        <v>195</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195088</v>
      </c>
      <c r="I93" s="94">
        <f ca="1">OFFSET(TblProd[[#This Row],[Food]],-1,0)+OFFSET(TblProd[[#This Row],[Food/hr]],-1,0)+ROUNDUP((TblConstr[[#This Row],[Farms]]*80+TblConstr[[#This Row],[Docks]]*35)*(1+OFFSET(TblProd[[#This Row],[Bonus Food/hr]],-1,0)),0)</f>
        <v>147291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MAX(3750,_xlfn.CEILING.MATH(TblProd[[#This Row],[Land]]*2.5+OFFSET(TblTech[[#This Row],[Sum of tech]],-1,0)*150))</f>
        <v>3750</v>
      </c>
      <c r="R93" s="142"/>
      <c r="S93" s="94">
        <f ca="1">ROUNDDOWN(TblProd[[#This Row],[Raw Plat/hr]]*(1+TblProd[[#This Row],[Bonus Plat/hr]]),0)</f>
        <v>526</v>
      </c>
      <c r="T93" s="94">
        <f ca="1">ROUND(TblProd[[#This Row],[Raw Food/hr]]*(1+TblProd[[#This Row],[Bonus Food/hr]])-TblProd[[#This Row],[Food decay]]-TblProd[[#This Row],[Food eaten]],0)</f>
        <v>915</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526.5</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1472.91</v>
      </c>
      <c r="AP93" s="94">
        <f ca="1">(1+race_food_consumption)*TblPop[[#This Row],[Total]]*food_per_person*(1+tech_1_10*TblTech[[#This Row],[1-10]]+tech_7_5*TblTech[[#This Row],[7-5]] + IF(TblMagic[[#This Row],[Active Demonic Pact]]&gt;0,demonic_pact_food_cons,0))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42</v>
      </c>
      <c r="BC93" s="158">
        <f>-TblProd[[#This Row],[Bank Lumber]] / 2 + -TblProd[[#This Row],[Bank Gems]] * 2 + -TblProd[[#This Row],[Bank Ore]] / 2</f>
        <v>0</v>
      </c>
      <c r="BD93" s="158"/>
      <c r="BE93" s="158"/>
      <c r="BF93" s="158"/>
      <c r="BG93" s="159">
        <f ca="1">TblProd[[#This Row],[Time]]</f>
        <v>45818.708333333117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195088</v>
      </c>
      <c r="BJ93" s="94">
        <f ca="1">TblProd[[#This Row],[Food]]</f>
        <v>147291</v>
      </c>
      <c r="BK93" s="94">
        <f ca="1">TblProd[[#This Row],[Lumber]]</f>
        <v>65248</v>
      </c>
      <c r="BL93" s="94">
        <f ca="1">TblProd[[#This Row],[Mana]]</f>
        <v>0</v>
      </c>
      <c r="BM93" s="94">
        <f ca="1">TblProd[[#This Row],[Ore]]</f>
        <v>0</v>
      </c>
    </row>
    <row r="94" spans="1:65" x14ac:dyDescent="0.2">
      <c r="A94" s="137">
        <f t="shared" si="0"/>
        <v>43</v>
      </c>
      <c r="B94" s="152">
        <f ca="1">TblImps[[#This Row],[Time]]</f>
        <v>45818.749999999782</v>
      </c>
      <c r="C94" s="153"/>
      <c r="D94" s="154"/>
      <c r="E94" s="94">
        <f ca="1">TblConstr[[#This Row],[Land]]</f>
        <v>50</v>
      </c>
      <c r="F94" s="94">
        <f ca="1">TblPop[[#This Row],[Peasants]]</f>
        <v>193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195614</v>
      </c>
      <c r="I94" s="94">
        <f ca="1">OFFSET(TblProd[[#This Row],[Food]],-1,0)+OFFSET(TblProd[[#This Row],[Food/hr]],-1,0)+ROUNDUP((TblConstr[[#This Row],[Farms]]*80+TblConstr[[#This Row],[Docks]]*35)*(1+OFFSET(TblProd[[#This Row],[Bonus Food/hr]],-1,0)),0)</f>
        <v>148206</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MAX(3750,_xlfn.CEILING.MATH(TblProd[[#This Row],[Land]]*2.5+OFFSET(TblTech[[#This Row],[Sum of tech]],-1,0)*150))</f>
        <v>3750</v>
      </c>
      <c r="R94" s="142"/>
      <c r="S94" s="94">
        <f ca="1">ROUNDDOWN(TblProd[[#This Row],[Raw Plat/hr]]*(1+TblProd[[#This Row],[Bonus Plat/hr]]),0)</f>
        <v>521</v>
      </c>
      <c r="T94" s="94">
        <f ca="1">ROUND(TblProd[[#This Row],[Raw Food/hr]]*(1+TblProd[[#This Row],[Bonus Food/hr]])-TblProd[[#This Row],[Food decay]]-TblProd[[#This Row],[Food eaten]],0)</f>
        <v>906</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521.1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1482.06</v>
      </c>
      <c r="AP94" s="94">
        <f ca="1">(1+race_food_consumption)*TblPop[[#This Row],[Total]]*food_per_person*(1+tech_1_10*TblTech[[#This Row],[1-10]]+tech_7_5*TblTech[[#This Row],[7-5]] + IF(TblMagic[[#This Row],[Active Demonic Pact]]&gt;0,demonic_pact_food_cons,0))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43</v>
      </c>
      <c r="BC94" s="158">
        <f>-TblProd[[#This Row],[Bank Lumber]] / 2 + -TblProd[[#This Row],[Bank Gems]] * 2 + -TblProd[[#This Row],[Bank Ore]] / 2</f>
        <v>0</v>
      </c>
      <c r="BD94" s="158"/>
      <c r="BE94" s="158"/>
      <c r="BF94" s="158"/>
      <c r="BG94" s="159">
        <f ca="1">TblProd[[#This Row],[Time]]</f>
        <v>45818.749999999782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195614</v>
      </c>
      <c r="BJ94" s="94">
        <f ca="1">TblProd[[#This Row],[Food]]</f>
        <v>148206</v>
      </c>
      <c r="BK94" s="94">
        <f ca="1">TblProd[[#This Row],[Lumber]]</f>
        <v>65596</v>
      </c>
      <c r="BL94" s="94">
        <f ca="1">TblProd[[#This Row],[Mana]]</f>
        <v>0</v>
      </c>
      <c r="BM94" s="94">
        <f ca="1">TblProd[[#This Row],[Ore]]</f>
        <v>0</v>
      </c>
    </row>
    <row r="95" spans="1:65" x14ac:dyDescent="0.2">
      <c r="A95" s="137">
        <f t="shared" si="0"/>
        <v>44</v>
      </c>
      <c r="B95" s="152">
        <f ca="1">TblImps[[#This Row],[Time]]</f>
        <v>45818.791666666446</v>
      </c>
      <c r="C95" s="153"/>
      <c r="D95" s="154"/>
      <c r="E95" s="94">
        <f ca="1">TblConstr[[#This Row],[Land]]</f>
        <v>50</v>
      </c>
      <c r="F95" s="94">
        <f ca="1">TblPop[[#This Row],[Peasants]]</f>
        <v>191</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196135</v>
      </c>
      <c r="I95" s="94">
        <f ca="1">OFFSET(TblProd[[#This Row],[Food]],-1,0)+OFFSET(TblProd[[#This Row],[Food/hr]],-1,0)+ROUNDUP((TblConstr[[#This Row],[Farms]]*80+TblConstr[[#This Row],[Docks]]*35)*(1+OFFSET(TblProd[[#This Row],[Bonus Food/hr]],-1,0)),0)</f>
        <v>149112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MAX(3750,_xlfn.CEILING.MATH(TblProd[[#This Row],[Land]]*2.5+OFFSET(TblTech[[#This Row],[Sum of tech]],-1,0)*150))</f>
        <v>3750</v>
      </c>
      <c r="R95" s="142"/>
      <c r="S95" s="94">
        <f ca="1">ROUNDDOWN(TblProd[[#This Row],[Raw Plat/hr]]*(1+TblProd[[#This Row],[Bonus Plat/hr]]),0)</f>
        <v>515</v>
      </c>
      <c r="T95" s="94">
        <f ca="1">ROUND(TblProd[[#This Row],[Raw Food/hr]]*(1+TblProd[[#This Row],[Bonus Food/hr]])-TblProd[[#This Row],[Food decay]]-TblProd[[#This Row],[Food eaten]],0)</f>
        <v>897</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515.70000000000005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1491.1200000000001</v>
      </c>
      <c r="AP95" s="94">
        <f ca="1">(1+race_food_consumption)*TblPop[[#This Row],[Total]]*food_per_person*(1+tech_1_10*TblTech[[#This Row],[1-10]]+tech_7_5*TblTech[[#This Row],[7-5]] + IF(TblMagic[[#This Row],[Active Demonic Pact]]&gt;0,demonic_pact_food_cons,0))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44</v>
      </c>
      <c r="BC95" s="158">
        <f>-TblProd[[#This Row],[Bank Lumber]] / 2 + -TblProd[[#This Row],[Bank Gems]] * 2 + -TblProd[[#This Row],[Bank Ore]] / 2</f>
        <v>0</v>
      </c>
      <c r="BD95" s="158"/>
      <c r="BE95" s="158"/>
      <c r="BF95" s="158"/>
      <c r="BG95" s="159">
        <f ca="1">TblProd[[#This Row],[Time]]</f>
        <v>45818.791666666446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196135</v>
      </c>
      <c r="BJ95" s="94">
        <f ca="1">TblProd[[#This Row],[Food]]</f>
        <v>149112</v>
      </c>
      <c r="BK95" s="94">
        <f ca="1">TblProd[[#This Row],[Lumber]]</f>
        <v>65940</v>
      </c>
      <c r="BL95" s="94">
        <f ca="1">TblProd[[#This Row],[Mana]]</f>
        <v>0</v>
      </c>
      <c r="BM95" s="94">
        <f ca="1">TblProd[[#This Row],[Ore]]</f>
        <v>0</v>
      </c>
    </row>
    <row r="96" spans="1:65" x14ac:dyDescent="0.2">
      <c r="A96" s="137">
        <f t="shared" si="0"/>
        <v>45</v>
      </c>
      <c r="B96" s="152">
        <f ca="1">TblImps[[#This Row],[Time]]</f>
        <v>45818.83333333311</v>
      </c>
      <c r="C96" s="153"/>
      <c r="D96" s="154"/>
      <c r="E96" s="94">
        <f ca="1">TblConstr[[#This Row],[Land]]</f>
        <v>50</v>
      </c>
      <c r="F96" s="94">
        <f ca="1">TblPop[[#This Row],[Peasants]]</f>
        <v>189</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196650</v>
      </c>
      <c r="I96" s="94">
        <f ca="1">OFFSET(TblProd[[#This Row],[Food]],-1,0)+OFFSET(TblProd[[#This Row],[Food/hr]],-1,0)+ROUNDUP((TblConstr[[#This Row],[Farms]]*80+TblConstr[[#This Row],[Docks]]*35)*(1+OFFSET(TblProd[[#This Row],[Bonus Food/hr]],-1,0)),0)</f>
        <v>150009</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MAX(3750,_xlfn.CEILING.MATH(TblProd[[#This Row],[Land]]*2.5+OFFSET(TblTech[[#This Row],[Sum of tech]],-1,0)*150))</f>
        <v>3750</v>
      </c>
      <c r="R96" s="142"/>
      <c r="S96" s="94">
        <f ca="1">ROUNDDOWN(TblProd[[#This Row],[Raw Plat/hr]]*(1+TblProd[[#This Row],[Bonus Plat/hr]]),0)</f>
        <v>510</v>
      </c>
      <c r="T96" s="94">
        <f ca="1">ROUND(TblProd[[#This Row],[Raw Food/hr]]*(1+TblProd[[#This Row],[Bonus Food/hr]])-TblProd[[#This Row],[Food decay]]-TblProd[[#This Row],[Food eaten]],0)</f>
        <v>888</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510.3</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1500.09</v>
      </c>
      <c r="AP96" s="94">
        <f ca="1">(1+race_food_consumption)*TblPop[[#This Row],[Total]]*food_per_person*(1+tech_1_10*TblTech[[#This Row],[1-10]]+tech_7_5*TblTech[[#This Row],[7-5]] + IF(TblMagic[[#This Row],[Active Demonic Pact]]&gt;0,demonic_pact_food_cons,0))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45</v>
      </c>
      <c r="BC96" s="158">
        <f>-TblProd[[#This Row],[Bank Lumber]] / 2 + -TblProd[[#This Row],[Bank Gems]] * 2 + -TblProd[[#This Row],[Bank Ore]] / 2</f>
        <v>0</v>
      </c>
      <c r="BD96" s="158"/>
      <c r="BE96" s="158"/>
      <c r="BF96" s="158"/>
      <c r="BG96" s="159">
        <f ca="1">TblProd[[#This Row],[Time]]</f>
        <v>45818.83333333311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196650</v>
      </c>
      <c r="BJ96" s="94">
        <f ca="1">TblProd[[#This Row],[Food]]</f>
        <v>150009</v>
      </c>
      <c r="BK96" s="94">
        <f ca="1">TblProd[[#This Row],[Lumber]]</f>
        <v>66281</v>
      </c>
      <c r="BL96" s="94">
        <f ca="1">TblProd[[#This Row],[Mana]]</f>
        <v>0</v>
      </c>
      <c r="BM96" s="94">
        <f ca="1">TblProd[[#This Row],[Ore]]</f>
        <v>0</v>
      </c>
    </row>
    <row r="97" spans="1:65" x14ac:dyDescent="0.2">
      <c r="A97" s="137">
        <f t="shared" si="0"/>
        <v>46</v>
      </c>
      <c r="B97" s="152">
        <f ca="1">TblImps[[#This Row],[Time]]</f>
        <v>45818.874999999774</v>
      </c>
      <c r="C97" s="153"/>
      <c r="D97" s="154"/>
      <c r="E97" s="94">
        <f ca="1">TblConstr[[#This Row],[Land]]</f>
        <v>50</v>
      </c>
      <c r="F97" s="94">
        <f ca="1">TblPop[[#This Row],[Peasants]]</f>
        <v>187</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197160</v>
      </c>
      <c r="I97" s="94">
        <f ca="1">OFFSET(TblProd[[#This Row],[Food]],-1,0)+OFFSET(TblProd[[#This Row],[Food/hr]],-1,0)+ROUNDUP((TblConstr[[#This Row],[Farms]]*80+TblConstr[[#This Row],[Docks]]*35)*(1+OFFSET(TblProd[[#This Row],[Bonus Food/hr]],-1,0)),0)</f>
        <v>150897</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MAX(3750,_xlfn.CEILING.MATH(TblProd[[#This Row],[Land]]*2.5+OFFSET(TblTech[[#This Row],[Sum of tech]],-1,0)*150))</f>
        <v>3750</v>
      </c>
      <c r="R97" s="142"/>
      <c r="S97" s="94">
        <f ca="1">ROUNDDOWN(TblProd[[#This Row],[Raw Plat/hr]]*(1+TblProd[[#This Row],[Bonus Plat/hr]]),0)</f>
        <v>504</v>
      </c>
      <c r="T97" s="94">
        <f ca="1">ROUND(TblProd[[#This Row],[Raw Food/hr]]*(1+TblProd[[#This Row],[Bonus Food/hr]])-TblProd[[#This Row],[Food decay]]-TblProd[[#This Row],[Food eaten]],0)</f>
        <v>879</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504.90000000000003</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1508.97</v>
      </c>
      <c r="AP97" s="94">
        <f ca="1">(1+race_food_consumption)*TblPop[[#This Row],[Total]]*food_per_person*(1+tech_1_10*TblTech[[#This Row],[1-10]]+tech_7_5*TblTech[[#This Row],[7-5]] + IF(TblMagic[[#This Row],[Active Demonic Pact]]&gt;0,demonic_pact_food_cons,0))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46</v>
      </c>
      <c r="BC97" s="158">
        <f>-TblProd[[#This Row],[Bank Lumber]] / 2 + -TblProd[[#This Row],[Bank Gems]] * 2 + -TblProd[[#This Row],[Bank Ore]] / 2</f>
        <v>0</v>
      </c>
      <c r="BD97" s="158"/>
      <c r="BE97" s="158"/>
      <c r="BF97" s="158"/>
      <c r="BG97" s="159">
        <f ca="1">TblProd[[#This Row],[Time]]</f>
        <v>45818.874999999774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197160</v>
      </c>
      <c r="BJ97" s="94">
        <f ca="1">TblProd[[#This Row],[Food]]</f>
        <v>150897</v>
      </c>
      <c r="BK97" s="94">
        <f ca="1">TblProd[[#This Row],[Lumber]]</f>
        <v>66618</v>
      </c>
      <c r="BL97" s="94">
        <f ca="1">TblProd[[#This Row],[Mana]]</f>
        <v>0</v>
      </c>
      <c r="BM97" s="94">
        <f ca="1">TblProd[[#This Row],[Ore]]</f>
        <v>0</v>
      </c>
    </row>
    <row r="98" spans="1:65" x14ac:dyDescent="0.2">
      <c r="A98" s="137">
        <f t="shared" si="0"/>
        <v>47</v>
      </c>
      <c r="B98" s="152">
        <f ca="1">TblImps[[#This Row],[Time]]</f>
        <v>45818.916666666439</v>
      </c>
      <c r="C98" s="153"/>
      <c r="D98" s="154"/>
      <c r="E98" s="94">
        <f ca="1">TblConstr[[#This Row],[Land]]</f>
        <v>50</v>
      </c>
      <c r="F98" s="94">
        <f ca="1">TblPop[[#This Row],[Peasants]]</f>
        <v>185</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197664</v>
      </c>
      <c r="I98" s="94">
        <f ca="1">OFFSET(TblProd[[#This Row],[Food]],-1,0)+OFFSET(TblProd[[#This Row],[Food/hr]],-1,0)+ROUNDUP((TblConstr[[#This Row],[Farms]]*80+TblConstr[[#This Row],[Docks]]*35)*(1+OFFSET(TblProd[[#This Row],[Bonus Food/hr]],-1,0)),0)</f>
        <v>151776</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MAX(3750,_xlfn.CEILING.MATH(TblProd[[#This Row],[Land]]*2.5+OFFSET(TblTech[[#This Row],[Sum of tech]],-1,0)*150))</f>
        <v>3750</v>
      </c>
      <c r="R98" s="142"/>
      <c r="S98" s="94">
        <f ca="1">ROUNDDOWN(TblProd[[#This Row],[Raw Plat/hr]]*(1+TblProd[[#This Row],[Bonus Plat/hr]]),0)</f>
        <v>499</v>
      </c>
      <c r="T98" s="94">
        <f ca="1">ROUND(TblProd[[#This Row],[Raw Food/hr]]*(1+TblProd[[#This Row],[Bonus Food/hr]])-TblProd[[#This Row],[Food decay]]-TblProd[[#This Row],[Food eaten]],0)</f>
        <v>870</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499.50000000000006</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1517.76</v>
      </c>
      <c r="AP98" s="94">
        <f ca="1">(1+race_food_consumption)*TblPop[[#This Row],[Total]]*food_per_person*(1+tech_1_10*TblTech[[#This Row],[1-10]]+tech_7_5*TblTech[[#This Row],[7-5]] + IF(TblMagic[[#This Row],[Active Demonic Pact]]&gt;0,demonic_pact_food_cons,0))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47</v>
      </c>
      <c r="BC98" s="158">
        <f>-TblProd[[#This Row],[Bank Lumber]] / 2 + -TblProd[[#This Row],[Bank Gems]] * 2 + -TblProd[[#This Row],[Bank Ore]] / 2</f>
        <v>0</v>
      </c>
      <c r="BD98" s="158"/>
      <c r="BE98" s="158"/>
      <c r="BF98" s="158"/>
      <c r="BG98" s="159">
        <f ca="1">TblProd[[#This Row],[Time]]</f>
        <v>45818.916666666439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197664</v>
      </c>
      <c r="BJ98" s="94">
        <f ca="1">TblProd[[#This Row],[Food]]</f>
        <v>151776</v>
      </c>
      <c r="BK98" s="94">
        <f ca="1">TblProd[[#This Row],[Lumber]]</f>
        <v>66952</v>
      </c>
      <c r="BL98" s="94">
        <f ca="1">TblProd[[#This Row],[Mana]]</f>
        <v>0</v>
      </c>
      <c r="BM98" s="94">
        <f ca="1">TblProd[[#This Row],[Ore]]</f>
        <v>0</v>
      </c>
    </row>
    <row r="99" spans="1:65" x14ac:dyDescent="0.2">
      <c r="A99" s="137">
        <f t="shared" si="0"/>
        <v>48</v>
      </c>
      <c r="B99" s="152">
        <f ca="1">TblImps[[#This Row],[Time]]</f>
        <v>45818.958333333103</v>
      </c>
      <c r="C99" s="153"/>
      <c r="D99" s="154"/>
      <c r="E99" s="94">
        <f ca="1">TblConstr[[#This Row],[Land]]</f>
        <v>50</v>
      </c>
      <c r="F99" s="94">
        <f ca="1">TblPop[[#This Row],[Peasants]]</f>
        <v>183</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198163</v>
      </c>
      <c r="I99" s="94">
        <f ca="1">OFFSET(TblProd[[#This Row],[Food]],-1,0)+OFFSET(TblProd[[#This Row],[Food/hr]],-1,0)+ROUNDUP((TblConstr[[#This Row],[Farms]]*80+TblConstr[[#This Row],[Docks]]*35)*(1+OFFSET(TblProd[[#This Row],[Bonus Food/hr]],-1,0)),0)</f>
        <v>152646</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MAX(3750,_xlfn.CEILING.MATH(TblProd[[#This Row],[Land]]*2.5+OFFSET(TblTech[[#This Row],[Sum of tech]],-1,0)*150))</f>
        <v>3750</v>
      </c>
      <c r="R99" s="142"/>
      <c r="S99" s="94">
        <f ca="1">ROUNDDOWN(TblProd[[#This Row],[Raw Plat/hr]]*(1+TblProd[[#This Row],[Bonus Plat/hr]]),0)</f>
        <v>494</v>
      </c>
      <c r="T99" s="94">
        <f ca="1">ROUND(TblProd[[#This Row],[Raw Food/hr]]*(1+TblProd[[#This Row],[Bonus Food/hr]])-TblProd[[#This Row],[Food decay]]-TblProd[[#This Row],[Food eaten]],0)</f>
        <v>861</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494.1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1526.46</v>
      </c>
      <c r="AP99" s="94">
        <f ca="1">(1+race_food_consumption)*TblPop[[#This Row],[Total]]*food_per_person*(1+tech_1_10*TblTech[[#This Row],[1-10]]+tech_7_5*TblTech[[#This Row],[7-5]] + IF(TblMagic[[#This Row],[Active Demonic Pact]]&gt;0,demonic_pact_food_cons,0))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48</v>
      </c>
      <c r="BC99" s="158">
        <f>-TblProd[[#This Row],[Bank Lumber]] / 2 + -TblProd[[#This Row],[Bank Gems]] * 2 + -TblProd[[#This Row],[Bank Ore]] / 2</f>
        <v>0</v>
      </c>
      <c r="BD99" s="158"/>
      <c r="BE99" s="158"/>
      <c r="BF99" s="158"/>
      <c r="BG99" s="159">
        <f ca="1">TblProd[[#This Row],[Time]]</f>
        <v>45818.958333333103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198163</v>
      </c>
      <c r="BJ99" s="94">
        <f ca="1">TblProd[[#This Row],[Food]]</f>
        <v>152646</v>
      </c>
      <c r="BK99" s="94">
        <f ca="1">TblProd[[#This Row],[Lumber]]</f>
        <v>67282</v>
      </c>
      <c r="BL99" s="94">
        <f ca="1">TblProd[[#This Row],[Mana]]</f>
        <v>0</v>
      </c>
      <c r="BM99" s="94">
        <f ca="1">TblProd[[#This Row],[Ore]]</f>
        <v>0</v>
      </c>
    </row>
    <row r="100" spans="1:65" x14ac:dyDescent="0.2">
      <c r="A100" s="137">
        <f t="shared" si="0"/>
        <v>49</v>
      </c>
      <c r="B100" s="152">
        <f ca="1">TblImps[[#This Row],[Time]]</f>
        <v>45818.999999999767</v>
      </c>
      <c r="C100" s="153"/>
      <c r="D100" s="154"/>
      <c r="E100" s="94">
        <f ca="1">TblConstr[[#This Row],[Land]]</f>
        <v>50</v>
      </c>
      <c r="F100" s="94">
        <f ca="1">TblPop[[#This Row],[Peasants]]</f>
        <v>181</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198657</v>
      </c>
      <c r="I100" s="94">
        <f ca="1">OFFSET(TblProd[[#This Row],[Food]],-1,0)+OFFSET(TblProd[[#This Row],[Food/hr]],-1,0)+ROUNDUP((TblConstr[[#This Row],[Farms]]*80+TblConstr[[#This Row],[Docks]]*35)*(1+OFFSET(TblProd[[#This Row],[Bonus Food/hr]],-1,0)),0)</f>
        <v>153507</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MAX(3750,_xlfn.CEILING.MATH(TblProd[[#This Row],[Land]]*2.5+OFFSET(TblTech[[#This Row],[Sum of tech]],-1,0)*150))</f>
        <v>3750</v>
      </c>
      <c r="R100" s="142"/>
      <c r="S100" s="94">
        <f ca="1">ROUNDDOWN(TblProd[[#This Row],[Raw Plat/hr]]*(1+TblProd[[#This Row],[Bonus Plat/hr]]),0)</f>
        <v>488</v>
      </c>
      <c r="T100" s="94">
        <f ca="1">ROUND(TblProd[[#This Row],[Raw Food/hr]]*(1+TblProd[[#This Row],[Bonus Food/hr]])-TblProd[[#This Row],[Food decay]]-TblProd[[#This Row],[Food eaten]],0)</f>
        <v>853</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488.70000000000005</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1535.07</v>
      </c>
      <c r="AP100" s="94">
        <f ca="1">(1+race_food_consumption)*TblPop[[#This Row],[Total]]*food_per_person*(1+tech_1_10*TblTech[[#This Row],[1-10]]+tech_7_5*TblTech[[#This Row],[7-5]] + IF(TblMagic[[#This Row],[Active Demonic Pact]]&gt;0,demonic_pact_food_cons,0))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49</v>
      </c>
      <c r="BC100" s="158">
        <f>-TblProd[[#This Row],[Bank Lumber]] / 2 + -TblProd[[#This Row],[Bank Gems]] * 2 + -TblProd[[#This Row],[Bank Ore]] / 2</f>
        <v>0</v>
      </c>
      <c r="BD100" s="158"/>
      <c r="BE100" s="158"/>
      <c r="BF100" s="158"/>
      <c r="BG100" s="159">
        <f ca="1">TblProd[[#This Row],[Time]]</f>
        <v>45818.999999999767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198657</v>
      </c>
      <c r="BJ100" s="94">
        <f ca="1">TblProd[[#This Row],[Food]]</f>
        <v>153507</v>
      </c>
      <c r="BK100" s="94">
        <f ca="1">TblProd[[#This Row],[Lumber]]</f>
        <v>67609</v>
      </c>
      <c r="BL100" s="94">
        <f ca="1">TblProd[[#This Row],[Mana]]</f>
        <v>0</v>
      </c>
      <c r="BM100" s="94">
        <f ca="1">TblProd[[#This Row],[Ore]]</f>
        <v>0</v>
      </c>
    </row>
    <row r="101" spans="1:65" x14ac:dyDescent="0.2">
      <c r="A101" s="137">
        <f t="shared" si="0"/>
        <v>50</v>
      </c>
      <c r="B101" s="152">
        <f ca="1">TblImps[[#This Row],[Time]]</f>
        <v>45819.041666666431</v>
      </c>
      <c r="C101" s="153"/>
      <c r="D101" s="154"/>
      <c r="E101" s="94">
        <f ca="1">TblConstr[[#This Row],[Land]]</f>
        <v>50</v>
      </c>
      <c r="F101" s="94">
        <f ca="1">TblPop[[#This Row],[Peasants]]</f>
        <v>179</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199145</v>
      </c>
      <c r="I101" s="94">
        <f ca="1">OFFSET(TblProd[[#This Row],[Food]],-1,0)+OFFSET(TblProd[[#This Row],[Food/hr]],-1,0)+ROUNDUP((TblConstr[[#This Row],[Farms]]*80+TblConstr[[#This Row],[Docks]]*35)*(1+OFFSET(TblProd[[#This Row],[Bonus Food/hr]],-1,0)),0)</f>
        <v>154360</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MAX(3750,_xlfn.CEILING.MATH(TblProd[[#This Row],[Land]]*2.5+OFFSET(TblTech[[#This Row],[Sum of tech]],-1,0)*150))</f>
        <v>3750</v>
      </c>
      <c r="R101" s="142"/>
      <c r="S101" s="94">
        <f ca="1">ROUNDDOWN(TblProd[[#This Row],[Raw Plat/hr]]*(1+TblProd[[#This Row],[Bonus Plat/hr]]),0)</f>
        <v>483</v>
      </c>
      <c r="T101" s="94">
        <f ca="1">ROUND(TblProd[[#This Row],[Raw Food/hr]]*(1+TblProd[[#This Row],[Bonus Food/hr]])-TblProd[[#This Row],[Food decay]]-TblProd[[#This Row],[Food eaten]],0)</f>
        <v>844</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483.3</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1543.6000000000001</v>
      </c>
      <c r="AP101" s="94">
        <f ca="1">(1+race_food_consumption)*TblPop[[#This Row],[Total]]*food_per_person*(1+tech_1_10*TblTech[[#This Row],[1-10]]+tech_7_5*TblTech[[#This Row],[7-5]] + IF(TblMagic[[#This Row],[Active Demonic Pact]]&gt;0,demonic_pact_food_cons,0))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50</v>
      </c>
      <c r="BC101" s="158">
        <f>-TblProd[[#This Row],[Bank Lumber]] / 2 + -TblProd[[#This Row],[Bank Gems]] * 2 + -TblProd[[#This Row],[Bank Ore]] / 2</f>
        <v>0</v>
      </c>
      <c r="BD101" s="158"/>
      <c r="BE101" s="158"/>
      <c r="BF101" s="158"/>
      <c r="BG101" s="159">
        <f ca="1">TblProd[[#This Row],[Time]]</f>
        <v>45819.041666666431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199145</v>
      </c>
      <c r="BJ101" s="94">
        <f ca="1">TblProd[[#This Row],[Food]]</f>
        <v>154360</v>
      </c>
      <c r="BK101" s="94">
        <f ca="1">TblProd[[#This Row],[Lumber]]</f>
        <v>67933</v>
      </c>
      <c r="BL101" s="94">
        <f ca="1">TblProd[[#This Row],[Mana]]</f>
        <v>0</v>
      </c>
      <c r="BM101" s="94">
        <f ca="1">TblProd[[#This Row],[Ore]]</f>
        <v>0</v>
      </c>
    </row>
    <row r="102" spans="1:65" x14ac:dyDescent="0.2">
      <c r="A102" s="137">
        <f t="shared" si="0"/>
        <v>51</v>
      </c>
      <c r="B102" s="152">
        <f ca="1">TblImps[[#This Row],[Time]]</f>
        <v>45819.083333333096</v>
      </c>
      <c r="C102" s="153"/>
      <c r="D102" s="154"/>
      <c r="E102" s="94">
        <f ca="1">TblConstr[[#This Row],[Land]]</f>
        <v>50</v>
      </c>
      <c r="F102" s="94">
        <f ca="1">TblPop[[#This Row],[Peasants]]</f>
        <v>177</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199628</v>
      </c>
      <c r="I102" s="94">
        <f ca="1">OFFSET(TblProd[[#This Row],[Food]],-1,0)+OFFSET(TblProd[[#This Row],[Food/hr]],-1,0)+ROUNDUP((TblConstr[[#This Row],[Farms]]*80+TblConstr[[#This Row],[Docks]]*35)*(1+OFFSET(TblProd[[#This Row],[Bonus Food/hr]],-1,0)),0)</f>
        <v>155204</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MAX(3750,_xlfn.CEILING.MATH(TblProd[[#This Row],[Land]]*2.5+OFFSET(TblTech[[#This Row],[Sum of tech]],-1,0)*150))</f>
        <v>3750</v>
      </c>
      <c r="R102" s="142"/>
      <c r="S102" s="94">
        <f ca="1">ROUNDDOWN(TblProd[[#This Row],[Raw Plat/hr]]*(1+TblProd[[#This Row],[Bonus Plat/hr]]),0)</f>
        <v>477</v>
      </c>
      <c r="T102" s="94">
        <f ca="1">ROUND(TblProd[[#This Row],[Raw Food/hr]]*(1+TblProd[[#This Row],[Bonus Food/hr]])-TblProd[[#This Row],[Food decay]]-TblProd[[#This Row],[Food eaten]],0)</f>
        <v>836</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477.90000000000003</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1552.04</v>
      </c>
      <c r="AP102" s="94">
        <f ca="1">(1+race_food_consumption)*TblPop[[#This Row],[Total]]*food_per_person*(1+tech_1_10*TblTech[[#This Row],[1-10]]+tech_7_5*TblTech[[#This Row],[7-5]] + IF(TblMagic[[#This Row],[Active Demonic Pact]]&gt;0,demonic_pact_food_cons,0))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51</v>
      </c>
      <c r="BC102" s="158">
        <f>-TblProd[[#This Row],[Bank Lumber]] / 2 + -TblProd[[#This Row],[Bank Gems]] * 2 + -TblProd[[#This Row],[Bank Ore]] / 2</f>
        <v>0</v>
      </c>
      <c r="BD102" s="158"/>
      <c r="BE102" s="158"/>
      <c r="BF102" s="158"/>
      <c r="BG102" s="159">
        <f ca="1">TblProd[[#This Row],[Time]]</f>
        <v>45819.083333333096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199628</v>
      </c>
      <c r="BJ102" s="94">
        <f ca="1">TblProd[[#This Row],[Food]]</f>
        <v>155204</v>
      </c>
      <c r="BK102" s="94">
        <f ca="1">TblProd[[#This Row],[Lumber]]</f>
        <v>68254</v>
      </c>
      <c r="BL102" s="94">
        <f ca="1">TblProd[[#This Row],[Mana]]</f>
        <v>0</v>
      </c>
      <c r="BM102" s="94">
        <f ca="1">TblProd[[#This Row],[Ore]]</f>
        <v>0</v>
      </c>
    </row>
    <row r="103" spans="1:65" x14ac:dyDescent="0.2">
      <c r="A103" s="137">
        <f t="shared" si="0"/>
        <v>52</v>
      </c>
      <c r="B103" s="152">
        <f ca="1">TblImps[[#This Row],[Time]]</f>
        <v>45819.12499999976</v>
      </c>
      <c r="C103" s="153"/>
      <c r="D103" s="154"/>
      <c r="E103" s="94">
        <f ca="1">TblConstr[[#This Row],[Land]]</f>
        <v>50</v>
      </c>
      <c r="F103" s="94">
        <f ca="1">TblPop[[#This Row],[Peasants]]</f>
        <v>175</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200105</v>
      </c>
      <c r="I103" s="94">
        <f ca="1">OFFSET(TblProd[[#This Row],[Food]],-1,0)+OFFSET(TblProd[[#This Row],[Food/hr]],-1,0)+ROUNDUP((TblConstr[[#This Row],[Farms]]*80+TblConstr[[#This Row],[Docks]]*35)*(1+OFFSET(TblProd[[#This Row],[Bonus Food/hr]],-1,0)),0)</f>
        <v>156040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MAX(3750,_xlfn.CEILING.MATH(TblProd[[#This Row],[Land]]*2.5+OFFSET(TblTech[[#This Row],[Sum of tech]],-1,0)*150))</f>
        <v>3750</v>
      </c>
      <c r="R103" s="142"/>
      <c r="S103" s="94">
        <f ca="1">ROUNDDOWN(TblProd[[#This Row],[Raw Plat/hr]]*(1+TblProd[[#This Row],[Bonus Plat/hr]]),0)</f>
        <v>472</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472.50000000000006</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1560.4</v>
      </c>
      <c r="AP103" s="94">
        <f ca="1">(1+race_food_consumption)*TblPop[[#This Row],[Total]]*food_per_person*(1+tech_1_10*TblTech[[#This Row],[1-10]]+tech_7_5*TblTech[[#This Row],[7-5]] + IF(TblMagic[[#This Row],[Active Demonic Pact]]&gt;0,demonic_pact_food_cons,0))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52</v>
      </c>
      <c r="BC103" s="158">
        <f>-TblProd[[#This Row],[Bank Lumber]] / 2 + -TblProd[[#This Row],[Bank Gems]] * 2 + -TblProd[[#This Row],[Bank Ore]] / 2</f>
        <v>0</v>
      </c>
      <c r="BD103" s="158"/>
      <c r="BE103" s="158"/>
      <c r="BF103" s="158"/>
      <c r="BG103" s="159">
        <f ca="1">TblProd[[#This Row],[Time]]</f>
        <v>45819.12499999976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200105</v>
      </c>
      <c r="BJ103" s="94">
        <f ca="1">TblProd[[#This Row],[Food]]</f>
        <v>156040</v>
      </c>
      <c r="BK103" s="94">
        <f ca="1">TblProd[[#This Row],[Lumber]]</f>
        <v>68571</v>
      </c>
      <c r="BL103" s="94">
        <f ca="1">TblProd[[#This Row],[Mana]]</f>
        <v>0</v>
      </c>
      <c r="BM103" s="94">
        <f ca="1">TblProd[[#This Row],[Ore]]</f>
        <v>0</v>
      </c>
    </row>
    <row r="104" spans="1:65" x14ac:dyDescent="0.2">
      <c r="A104" s="137">
        <f t="shared" si="0"/>
        <v>53</v>
      </c>
      <c r="B104" s="152">
        <f ca="1">TblImps[[#This Row],[Time]]</f>
        <v>45819.166666666424</v>
      </c>
      <c r="C104" s="153"/>
      <c r="D104" s="154"/>
      <c r="E104" s="94">
        <f ca="1">TblConstr[[#This Row],[Land]]</f>
        <v>50</v>
      </c>
      <c r="F104" s="94">
        <f ca="1">TblPop[[#This Row],[Peasants]]</f>
        <v>173</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200577</v>
      </c>
      <c r="I104" s="94">
        <f ca="1">OFFSET(TblProd[[#This Row],[Food]],-1,0)+OFFSET(TblProd[[#This Row],[Food/hr]],-1,0)+ROUNDUP((TblConstr[[#This Row],[Farms]]*80+TblConstr[[#This Row],[Docks]]*35)*(1+OFFSET(TblProd[[#This Row],[Bonus Food/hr]],-1,0)),0)</f>
        <v>156867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MAX(3750,_xlfn.CEILING.MATH(TblProd[[#This Row],[Land]]*2.5+OFFSET(TblTech[[#This Row],[Sum of tech]],-1,0)*150))</f>
        <v>3750</v>
      </c>
      <c r="R104" s="142"/>
      <c r="S104" s="94">
        <f ca="1">ROUNDDOWN(TblProd[[#This Row],[Raw Plat/hr]]*(1+TblProd[[#This Row],[Bonus Plat/hr]]),0)</f>
        <v>467</v>
      </c>
      <c r="T104" s="94">
        <f ca="1">ROUND(TblProd[[#This Row],[Raw Food/hr]]*(1+TblProd[[#This Row],[Bonus Food/hr]])-TblProd[[#This Row],[Food decay]]-TblProd[[#This Row],[Food eaten]],0)</f>
        <v>819</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467.1</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1568.67</v>
      </c>
      <c r="AP104" s="94">
        <f ca="1">(1+race_food_consumption)*TblPop[[#This Row],[Total]]*food_per_person*(1+tech_1_10*TblTech[[#This Row],[1-10]]+tech_7_5*TblTech[[#This Row],[7-5]] + IF(TblMagic[[#This Row],[Active Demonic Pact]]&gt;0,demonic_pact_food_cons,0))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53</v>
      </c>
      <c r="BC104" s="158">
        <f>-TblProd[[#This Row],[Bank Lumber]] / 2 + -TblProd[[#This Row],[Bank Gems]] * 2 + -TblProd[[#This Row],[Bank Ore]] / 2</f>
        <v>0</v>
      </c>
      <c r="BD104" s="158"/>
      <c r="BE104" s="158"/>
      <c r="BF104" s="158"/>
      <c r="BG104" s="159">
        <f ca="1">TblProd[[#This Row],[Time]]</f>
        <v>45819.166666666424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200577</v>
      </c>
      <c r="BJ104" s="94">
        <f ca="1">TblProd[[#This Row],[Food]]</f>
        <v>156867</v>
      </c>
      <c r="BK104" s="94">
        <f ca="1">TblProd[[#This Row],[Lumber]]</f>
        <v>68885</v>
      </c>
      <c r="BL104" s="94">
        <f ca="1">TblProd[[#This Row],[Mana]]</f>
        <v>0</v>
      </c>
      <c r="BM104" s="94">
        <f ca="1">TblProd[[#This Row],[Ore]]</f>
        <v>0</v>
      </c>
    </row>
    <row r="105" spans="1:65" x14ac:dyDescent="0.2">
      <c r="A105" s="137">
        <f t="shared" si="0"/>
        <v>54</v>
      </c>
      <c r="B105" s="152">
        <f ca="1">TblImps[[#This Row],[Time]]</f>
        <v>45819.208333333088</v>
      </c>
      <c r="C105" s="153"/>
      <c r="D105" s="154"/>
      <c r="E105" s="94">
        <f ca="1">TblConstr[[#This Row],[Land]]</f>
        <v>50</v>
      </c>
      <c r="F105" s="94">
        <f ca="1">TblPop[[#This Row],[Peasants]]</f>
        <v>171</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201044</v>
      </c>
      <c r="I105" s="94">
        <f ca="1">OFFSET(TblProd[[#This Row],[Food]],-1,0)+OFFSET(TblProd[[#This Row],[Food/hr]],-1,0)+ROUNDUP((TblConstr[[#This Row],[Farms]]*80+TblConstr[[#This Row],[Docks]]*35)*(1+OFFSET(TblProd[[#This Row],[Bonus Food/hr]],-1,0)),0)</f>
        <v>157686</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MAX(3750,_xlfn.CEILING.MATH(TblProd[[#This Row],[Land]]*2.5+OFFSET(TblTech[[#This Row],[Sum of tech]],-1,0)*150))</f>
        <v>3750</v>
      </c>
      <c r="R105" s="142"/>
      <c r="S105" s="94">
        <f ca="1">ROUNDDOWN(TblProd[[#This Row],[Raw Plat/hr]]*(1+TblProd[[#This Row],[Bonus Plat/hr]]),0)</f>
        <v>461</v>
      </c>
      <c r="T105" s="94">
        <f ca="1">ROUND(TblProd[[#This Row],[Raw Food/hr]]*(1+TblProd[[#This Row],[Bonus Food/hr]])-TblProd[[#This Row],[Food decay]]-TblProd[[#This Row],[Food eaten]],0)</f>
        <v>811</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461.70000000000005</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1576.8600000000001</v>
      </c>
      <c r="AP105" s="94">
        <f ca="1">(1+race_food_consumption)*TblPop[[#This Row],[Total]]*food_per_person*(1+tech_1_10*TblTech[[#This Row],[1-10]]+tech_7_5*TblTech[[#This Row],[7-5]] + IF(TblMagic[[#This Row],[Active Demonic Pact]]&gt;0,demonic_pact_food_cons,0))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54</v>
      </c>
      <c r="BC105" s="158">
        <f>-TblProd[[#This Row],[Bank Lumber]] / 2 + -TblProd[[#This Row],[Bank Gems]] * 2 + -TblProd[[#This Row],[Bank Ore]] / 2</f>
        <v>0</v>
      </c>
      <c r="BD105" s="158"/>
      <c r="BE105" s="158"/>
      <c r="BF105" s="158"/>
      <c r="BG105" s="159">
        <f ca="1">TblProd[[#This Row],[Time]]</f>
        <v>45819.208333333088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201044</v>
      </c>
      <c r="BJ105" s="94">
        <f ca="1">TblProd[[#This Row],[Food]]</f>
        <v>157686</v>
      </c>
      <c r="BK105" s="94">
        <f ca="1">TblProd[[#This Row],[Lumber]]</f>
        <v>69196</v>
      </c>
      <c r="BL105" s="94">
        <f ca="1">TblProd[[#This Row],[Mana]]</f>
        <v>0</v>
      </c>
      <c r="BM105" s="94">
        <f ca="1">TblProd[[#This Row],[Ore]]</f>
        <v>0</v>
      </c>
    </row>
    <row r="106" spans="1:65" x14ac:dyDescent="0.2">
      <c r="A106" s="137">
        <f t="shared" si="0"/>
        <v>55</v>
      </c>
      <c r="B106" s="152">
        <f ca="1">TblImps[[#This Row],[Time]]</f>
        <v>45819.249999999753</v>
      </c>
      <c r="C106" s="153"/>
      <c r="D106" s="154"/>
      <c r="E106" s="94">
        <f ca="1">TblConstr[[#This Row],[Land]]</f>
        <v>50</v>
      </c>
      <c r="F106" s="94">
        <f ca="1">TblPop[[#This Row],[Peasants]]</f>
        <v>169</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201505</v>
      </c>
      <c r="I106" s="94">
        <f ca="1">OFFSET(TblProd[[#This Row],[Food]],-1,0)+OFFSET(TblProd[[#This Row],[Food/hr]],-1,0)+ROUNDUP((TblConstr[[#This Row],[Farms]]*80+TblConstr[[#This Row],[Docks]]*35)*(1+OFFSET(TblProd[[#This Row],[Bonus Food/hr]],-1,0)),0)</f>
        <v>158497</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MAX(3750,_xlfn.CEILING.MATH(TblProd[[#This Row],[Land]]*2.5+OFFSET(TblTech[[#This Row],[Sum of tech]],-1,0)*150))</f>
        <v>3750</v>
      </c>
      <c r="R106" s="142"/>
      <c r="S106" s="94">
        <f ca="1">ROUNDDOWN(TblProd[[#This Row],[Raw Plat/hr]]*(1+TblProd[[#This Row],[Bonus Plat/hr]]),0)</f>
        <v>456</v>
      </c>
      <c r="T106" s="94">
        <f ca="1">ROUND(TblProd[[#This Row],[Raw Food/hr]]*(1+TblProd[[#This Row],[Bonus Food/hr]])-TblProd[[#This Row],[Food decay]]-TblProd[[#This Row],[Food eaten]],0)</f>
        <v>803</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456.3</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1584.97</v>
      </c>
      <c r="AP106" s="94">
        <f ca="1">(1+race_food_consumption)*TblPop[[#This Row],[Total]]*food_per_person*(1+tech_1_10*TblTech[[#This Row],[1-10]]+tech_7_5*TblTech[[#This Row],[7-5]] + IF(TblMagic[[#This Row],[Active Demonic Pact]]&gt;0,demonic_pact_food_cons,0))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55</v>
      </c>
      <c r="BC106" s="158">
        <f>-TblProd[[#This Row],[Bank Lumber]] / 2 + -TblProd[[#This Row],[Bank Gems]] * 2 + -TblProd[[#This Row],[Bank Ore]] / 2</f>
        <v>0</v>
      </c>
      <c r="BD106" s="158"/>
      <c r="BE106" s="158"/>
      <c r="BF106" s="158"/>
      <c r="BG106" s="159">
        <f ca="1">TblProd[[#This Row],[Time]]</f>
        <v>45819.249999999753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201505</v>
      </c>
      <c r="BJ106" s="94">
        <f ca="1">TblProd[[#This Row],[Food]]</f>
        <v>158497</v>
      </c>
      <c r="BK106" s="94">
        <f ca="1">TblProd[[#This Row],[Lumber]]</f>
        <v>69504</v>
      </c>
      <c r="BL106" s="94">
        <f ca="1">TblProd[[#This Row],[Mana]]</f>
        <v>0</v>
      </c>
      <c r="BM106" s="94">
        <f ca="1">TblProd[[#This Row],[Ore]]</f>
        <v>0</v>
      </c>
    </row>
    <row r="107" spans="1:65" x14ac:dyDescent="0.2">
      <c r="A107" s="137">
        <f t="shared" si="0"/>
        <v>56</v>
      </c>
      <c r="B107" s="152">
        <f ca="1">TblImps[[#This Row],[Time]]</f>
        <v>45819.291666666417</v>
      </c>
      <c r="C107" s="153"/>
      <c r="D107" s="154"/>
      <c r="E107" s="94">
        <f ca="1">TblConstr[[#This Row],[Land]]</f>
        <v>50</v>
      </c>
      <c r="F107" s="94">
        <f ca="1">TblPop[[#This Row],[Peasants]]</f>
        <v>167</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201961</v>
      </c>
      <c r="I107" s="94">
        <f ca="1">OFFSET(TblProd[[#This Row],[Food]],-1,0)+OFFSET(TblProd[[#This Row],[Food/hr]],-1,0)+ROUNDUP((TblConstr[[#This Row],[Farms]]*80+TblConstr[[#This Row],[Docks]]*35)*(1+OFFSET(TblProd[[#This Row],[Bonus Food/hr]],-1,0)),0)</f>
        <v>159300</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MAX(3750,_xlfn.CEILING.MATH(TblProd[[#This Row],[Land]]*2.5+OFFSET(TblTech[[#This Row],[Sum of tech]],-1,0)*150))</f>
        <v>3750</v>
      </c>
      <c r="R107" s="142"/>
      <c r="S107" s="94">
        <f ca="1">ROUNDDOWN(TblProd[[#This Row],[Raw Plat/hr]]*(1+TblProd[[#This Row],[Bonus Plat/hr]]),0)</f>
        <v>450</v>
      </c>
      <c r="T107" s="94">
        <f ca="1">ROUND(TblProd[[#This Row],[Raw Food/hr]]*(1+TblProd[[#This Row],[Bonus Food/hr]])-TblProd[[#This Row],[Food decay]]-TblProd[[#This Row],[Food eaten]],0)</f>
        <v>795</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450.90000000000003</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v>
      </c>
      <c r="AP107" s="94">
        <f ca="1">(1+race_food_consumption)*TblPop[[#This Row],[Total]]*food_per_person*(1+tech_1_10*TblTech[[#This Row],[1-10]]+tech_7_5*TblTech[[#This Row],[7-5]] + IF(TblMagic[[#This Row],[Active Demonic Pact]]&gt;0,demonic_pact_food_cons,0))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56</v>
      </c>
      <c r="BC107" s="158">
        <f>-TblProd[[#This Row],[Bank Lumber]] / 2 + -TblProd[[#This Row],[Bank Gems]] * 2 + -TblProd[[#This Row],[Bank Ore]] / 2</f>
        <v>0</v>
      </c>
      <c r="BD107" s="158"/>
      <c r="BE107" s="158"/>
      <c r="BF107" s="158"/>
      <c r="BG107" s="159">
        <f ca="1">TblProd[[#This Row],[Time]]</f>
        <v>45819.291666666417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201961</v>
      </c>
      <c r="BJ107" s="94">
        <f ca="1">TblProd[[#This Row],[Food]]</f>
        <v>159300</v>
      </c>
      <c r="BK107" s="94">
        <f ca="1">TblProd[[#This Row],[Lumber]]</f>
        <v>69809</v>
      </c>
      <c r="BL107" s="94">
        <f ca="1">TblProd[[#This Row],[Mana]]</f>
        <v>0</v>
      </c>
      <c r="BM107" s="94">
        <f ca="1">TblProd[[#This Row],[Ore]]</f>
        <v>0</v>
      </c>
    </row>
    <row r="108" spans="1:65" x14ac:dyDescent="0.2">
      <c r="A108" s="137">
        <f t="shared" si="0"/>
        <v>57</v>
      </c>
      <c r="B108" s="152">
        <f ca="1">TblImps[[#This Row],[Time]]</f>
        <v>45819.333333333081</v>
      </c>
      <c r="C108" s="153"/>
      <c r="D108" s="154"/>
      <c r="E108" s="94">
        <f ca="1">TblConstr[[#This Row],[Land]]</f>
        <v>50</v>
      </c>
      <c r="F108" s="94">
        <f ca="1">TblPop[[#This Row],[Peasants]]</f>
        <v>165</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202411</v>
      </c>
      <c r="I108" s="94">
        <f ca="1">OFFSET(TblProd[[#This Row],[Food]],-1,0)+OFFSET(TblProd[[#This Row],[Food/hr]],-1,0)+ROUNDUP((TblConstr[[#This Row],[Farms]]*80+TblConstr[[#This Row],[Docks]]*35)*(1+OFFSET(TblProd[[#This Row],[Bonus Food/hr]],-1,0)),0)</f>
        <v>160095</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MAX(3750,_xlfn.CEILING.MATH(TblProd[[#This Row],[Land]]*2.5+OFFSET(TblTech[[#This Row],[Sum of tech]],-1,0)*150))</f>
        <v>3750</v>
      </c>
      <c r="R108" s="142"/>
      <c r="S108" s="94">
        <f ca="1">ROUNDDOWN(TblProd[[#This Row],[Raw Plat/hr]]*(1+TblProd[[#This Row],[Bonus Plat/hr]]),0)</f>
        <v>445</v>
      </c>
      <c r="T108" s="94">
        <f ca="1">ROUND(TblProd[[#This Row],[Raw Food/hr]]*(1+TblProd[[#This Row],[Bonus Food/hr]])-TblProd[[#This Row],[Food decay]]-TblProd[[#This Row],[Food eaten]],0)</f>
        <v>787</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445.50000000000006</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1600.95</v>
      </c>
      <c r="AP108" s="94">
        <f ca="1">(1+race_food_consumption)*TblPop[[#This Row],[Total]]*food_per_person*(1+tech_1_10*TblTech[[#This Row],[1-10]]+tech_7_5*TblTech[[#This Row],[7-5]] + IF(TblMagic[[#This Row],[Active Demonic Pact]]&gt;0,demonic_pact_food_cons,0))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57</v>
      </c>
      <c r="BC108" s="158">
        <f>-TblProd[[#This Row],[Bank Lumber]] / 2 + -TblProd[[#This Row],[Bank Gems]] * 2 + -TblProd[[#This Row],[Bank Ore]] / 2</f>
        <v>0</v>
      </c>
      <c r="BD108" s="158"/>
      <c r="BE108" s="158"/>
      <c r="BF108" s="158"/>
      <c r="BG108" s="159">
        <f ca="1">TblProd[[#This Row],[Time]]</f>
        <v>45819.333333333081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202411</v>
      </c>
      <c r="BJ108" s="94">
        <f ca="1">TblProd[[#This Row],[Food]]</f>
        <v>160095</v>
      </c>
      <c r="BK108" s="94">
        <f ca="1">TblProd[[#This Row],[Lumber]]</f>
        <v>70111</v>
      </c>
      <c r="BL108" s="94">
        <f ca="1">TblProd[[#This Row],[Mana]]</f>
        <v>0</v>
      </c>
      <c r="BM108" s="94">
        <f ca="1">TblProd[[#This Row],[Ore]]</f>
        <v>0</v>
      </c>
    </row>
    <row r="109" spans="1:65" x14ac:dyDescent="0.2">
      <c r="A109" s="137">
        <f t="shared" si="0"/>
        <v>58</v>
      </c>
      <c r="B109" s="152">
        <f ca="1">TblImps[[#This Row],[Time]]</f>
        <v>45819.374999999745</v>
      </c>
      <c r="C109" s="153"/>
      <c r="D109" s="154"/>
      <c r="E109" s="94">
        <f ca="1">TblConstr[[#This Row],[Land]]</f>
        <v>50</v>
      </c>
      <c r="F109" s="94">
        <f ca="1">TblPop[[#This Row],[Peasants]]</f>
        <v>163</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202856</v>
      </c>
      <c r="I109" s="94">
        <f ca="1">OFFSET(TblProd[[#This Row],[Food]],-1,0)+OFFSET(TblProd[[#This Row],[Food/hr]],-1,0)+ROUNDUP((TblConstr[[#This Row],[Farms]]*80+TblConstr[[#This Row],[Docks]]*35)*(1+OFFSET(TblProd[[#This Row],[Bonus Food/hr]],-1,0)),0)</f>
        <v>160882</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MAX(3750,_xlfn.CEILING.MATH(TblProd[[#This Row],[Land]]*2.5+OFFSET(TblTech[[#This Row],[Sum of tech]],-1,0)*150))</f>
        <v>3750</v>
      </c>
      <c r="R109" s="142"/>
      <c r="S109" s="94">
        <f ca="1">ROUNDDOWN(TblProd[[#This Row],[Raw Plat/hr]]*(1+TblProd[[#This Row],[Bonus Plat/hr]]),0)</f>
        <v>440</v>
      </c>
      <c r="T109" s="94">
        <f ca="1">ROUND(TblProd[[#This Row],[Raw Food/hr]]*(1+TblProd[[#This Row],[Bonus Food/hr]])-TblProd[[#This Row],[Food decay]]-TblProd[[#This Row],[Food eaten]],0)</f>
        <v>779</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440.1</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1608.82</v>
      </c>
      <c r="AP109" s="94">
        <f ca="1">(1+race_food_consumption)*TblPop[[#This Row],[Total]]*food_per_person*(1+tech_1_10*TblTech[[#This Row],[1-10]]+tech_7_5*TblTech[[#This Row],[7-5]] + IF(TblMagic[[#This Row],[Active Demonic Pact]]&gt;0,demonic_pact_food_cons,0))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58</v>
      </c>
      <c r="BC109" s="158">
        <f>-TblProd[[#This Row],[Bank Lumber]] / 2 + -TblProd[[#This Row],[Bank Gems]] * 2 + -TblProd[[#This Row],[Bank Ore]] / 2</f>
        <v>0</v>
      </c>
      <c r="BD109" s="158"/>
      <c r="BE109" s="158"/>
      <c r="BF109" s="158"/>
      <c r="BG109" s="159">
        <f ca="1">TblProd[[#This Row],[Time]]</f>
        <v>45819.374999999745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202856</v>
      </c>
      <c r="BJ109" s="94">
        <f ca="1">TblProd[[#This Row],[Food]]</f>
        <v>160882</v>
      </c>
      <c r="BK109" s="94">
        <f ca="1">TblProd[[#This Row],[Lumber]]</f>
        <v>70410</v>
      </c>
      <c r="BL109" s="94">
        <f ca="1">TblProd[[#This Row],[Mana]]</f>
        <v>0</v>
      </c>
      <c r="BM109" s="94">
        <f ca="1">TblProd[[#This Row],[Ore]]</f>
        <v>0</v>
      </c>
    </row>
    <row r="110" spans="1:65" x14ac:dyDescent="0.2">
      <c r="A110" s="137">
        <f t="shared" si="0"/>
        <v>59</v>
      </c>
      <c r="B110" s="152">
        <f ca="1">TblImps[[#This Row],[Time]]</f>
        <v>45819.41666666641</v>
      </c>
      <c r="C110" s="153"/>
      <c r="D110" s="154"/>
      <c r="E110" s="94">
        <f ca="1">TblConstr[[#This Row],[Land]]</f>
        <v>50</v>
      </c>
      <c r="F110" s="94">
        <f ca="1">TblPop[[#This Row],[Peasants]]</f>
        <v>161</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203296</v>
      </c>
      <c r="I110" s="94">
        <f ca="1">OFFSET(TblProd[[#This Row],[Food]],-1,0)+OFFSET(TblProd[[#This Row],[Food/hr]],-1,0)+ROUNDUP((TblConstr[[#This Row],[Farms]]*80+TblConstr[[#This Row],[Docks]]*35)*(1+OFFSET(TblProd[[#This Row],[Bonus Food/hr]],-1,0)),0)</f>
        <v>161661</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MAX(3750,_xlfn.CEILING.MATH(TblProd[[#This Row],[Land]]*2.5+OFFSET(TblTech[[#This Row],[Sum of tech]],-1,0)*150))</f>
        <v>3750</v>
      </c>
      <c r="R110" s="142"/>
      <c r="S110" s="94">
        <f ca="1">ROUNDDOWN(TblProd[[#This Row],[Raw Plat/hr]]*(1+TblProd[[#This Row],[Bonus Plat/hr]]),0)</f>
        <v>434</v>
      </c>
      <c r="T110" s="94">
        <f ca="1">ROUND(TblProd[[#This Row],[Raw Food/hr]]*(1+TblProd[[#This Row],[Bonus Food/hr]])-TblProd[[#This Row],[Food decay]]-TblProd[[#This Row],[Food eaten]],0)</f>
        <v>771</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434.70000000000005</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1616.6100000000001</v>
      </c>
      <c r="AP110" s="94">
        <f ca="1">(1+race_food_consumption)*TblPop[[#This Row],[Total]]*food_per_person*(1+tech_1_10*TblTech[[#This Row],[1-10]]+tech_7_5*TblTech[[#This Row],[7-5]] + IF(TblMagic[[#This Row],[Active Demonic Pact]]&gt;0,demonic_pact_food_cons,0))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59</v>
      </c>
      <c r="BC110" s="158">
        <f>-TblProd[[#This Row],[Bank Lumber]] / 2 + -TblProd[[#This Row],[Bank Gems]] * 2 + -TblProd[[#This Row],[Bank Ore]] / 2</f>
        <v>0</v>
      </c>
      <c r="BD110" s="158"/>
      <c r="BE110" s="158"/>
      <c r="BF110" s="158"/>
      <c r="BG110" s="159">
        <f ca="1">TblProd[[#This Row],[Time]]</f>
        <v>45819.41666666641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203296</v>
      </c>
      <c r="BJ110" s="94">
        <f ca="1">TblProd[[#This Row],[Food]]</f>
        <v>161661</v>
      </c>
      <c r="BK110" s="94">
        <f ca="1">TblProd[[#This Row],[Lumber]]</f>
        <v>70706</v>
      </c>
      <c r="BL110" s="94">
        <f ca="1">TblProd[[#This Row],[Mana]]</f>
        <v>0</v>
      </c>
      <c r="BM110" s="94">
        <f ca="1">TblProd[[#This Row],[Ore]]</f>
        <v>0</v>
      </c>
    </row>
    <row r="111" spans="1:65" x14ac:dyDescent="0.2">
      <c r="A111" s="137">
        <f t="shared" si="0"/>
        <v>60</v>
      </c>
      <c r="B111" s="152">
        <f ca="1">TblImps[[#This Row],[Time]]</f>
        <v>45819.458333333074</v>
      </c>
      <c r="C111" s="153"/>
      <c r="D111" s="154"/>
      <c r="E111" s="94">
        <f ca="1">TblConstr[[#This Row],[Land]]</f>
        <v>50</v>
      </c>
      <c r="F111" s="94">
        <f ca="1">TblPop[[#This Row],[Peasants]]</f>
        <v>159</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203730</v>
      </c>
      <c r="I111" s="94">
        <f ca="1">OFFSET(TblProd[[#This Row],[Food]],-1,0)+OFFSET(TblProd[[#This Row],[Food/hr]],-1,0)+ROUNDUP((TblConstr[[#This Row],[Farms]]*80+TblConstr[[#This Row],[Docks]]*35)*(1+OFFSET(TblProd[[#This Row],[Bonus Food/hr]],-1,0)),0)</f>
        <v>162432</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MAX(3750,_xlfn.CEILING.MATH(TblProd[[#This Row],[Land]]*2.5+OFFSET(TblTech[[#This Row],[Sum of tech]],-1,0)*150))</f>
        <v>3750</v>
      </c>
      <c r="R111" s="142"/>
      <c r="S111" s="94">
        <f ca="1">ROUNDDOWN(TblProd[[#This Row],[Raw Plat/hr]]*(1+TblProd[[#This Row],[Bonus Plat/hr]]),0)</f>
        <v>429</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429.3</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1624.32</v>
      </c>
      <c r="AP111" s="94">
        <f ca="1">(1+race_food_consumption)*TblPop[[#This Row],[Total]]*food_per_person*(1+tech_1_10*TblTech[[#This Row],[1-10]]+tech_7_5*TblTech[[#This Row],[7-5]] + IF(TblMagic[[#This Row],[Active Demonic Pact]]&gt;0,demonic_pact_food_cons,0))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60</v>
      </c>
      <c r="BC111" s="158">
        <f>-TblProd[[#This Row],[Bank Lumber]] / 2 + -TblProd[[#This Row],[Bank Gems]] * 2 + -TblProd[[#This Row],[Bank Ore]] / 2</f>
        <v>0</v>
      </c>
      <c r="BD111" s="158"/>
      <c r="BE111" s="158"/>
      <c r="BF111" s="158"/>
      <c r="BG111" s="159">
        <f ca="1">TblProd[[#This Row],[Time]]</f>
        <v>45819.458333333074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203730</v>
      </c>
      <c r="BJ111" s="94">
        <f ca="1">TblProd[[#This Row],[Food]]</f>
        <v>162432</v>
      </c>
      <c r="BK111" s="94">
        <f ca="1">TblProd[[#This Row],[Lumber]]</f>
        <v>70999</v>
      </c>
      <c r="BL111" s="94">
        <f ca="1">TblProd[[#This Row],[Mana]]</f>
        <v>0</v>
      </c>
      <c r="BM111" s="94">
        <f ca="1">TblProd[[#This Row],[Ore]]</f>
        <v>0</v>
      </c>
    </row>
    <row r="112" spans="1:65" x14ac:dyDescent="0.2">
      <c r="A112" s="137">
        <f t="shared" si="0"/>
        <v>61</v>
      </c>
      <c r="B112" s="152">
        <f ca="1">TblImps[[#This Row],[Time]]</f>
        <v>45819.499999999738</v>
      </c>
      <c r="C112" s="153"/>
      <c r="D112" s="154"/>
      <c r="E112" s="94">
        <f ca="1">TblConstr[[#This Row],[Land]]</f>
        <v>50</v>
      </c>
      <c r="F112" s="94">
        <f ca="1">TblPop[[#This Row],[Peasants]]</f>
        <v>157</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204159</v>
      </c>
      <c r="I112" s="94">
        <f ca="1">OFFSET(TblProd[[#This Row],[Food]],-1,0)+OFFSET(TblProd[[#This Row],[Food/hr]],-1,0)+ROUNDUP((TblConstr[[#This Row],[Farms]]*80+TblConstr[[#This Row],[Docks]]*35)*(1+OFFSET(TblProd[[#This Row],[Bonus Food/hr]],-1,0)),0)</f>
        <v>163195</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MAX(3750,_xlfn.CEILING.MATH(TblProd[[#This Row],[Land]]*2.5+OFFSET(TblTech[[#This Row],[Sum of tech]],-1,0)*150))</f>
        <v>3750</v>
      </c>
      <c r="R112" s="142"/>
      <c r="S112" s="94">
        <f ca="1">ROUNDDOWN(TblProd[[#This Row],[Raw Plat/hr]]*(1+TblProd[[#This Row],[Bonus Plat/hr]]),0)</f>
        <v>423</v>
      </c>
      <c r="T112" s="94">
        <f ca="1">ROUND(TblProd[[#This Row],[Raw Food/hr]]*(1+TblProd[[#This Row],[Bonus Food/hr]])-TblProd[[#This Row],[Food decay]]-TblProd[[#This Row],[Food eaten]],0)</f>
        <v>756</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423.90000000000003</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1631.95</v>
      </c>
      <c r="AP112" s="94">
        <f ca="1">(1+race_food_consumption)*TblPop[[#This Row],[Total]]*food_per_person*(1+tech_1_10*TblTech[[#This Row],[1-10]]+tech_7_5*TblTech[[#This Row],[7-5]] + IF(TblMagic[[#This Row],[Active Demonic Pact]]&gt;0,demonic_pact_food_cons,0))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61</v>
      </c>
      <c r="BC112" s="158">
        <f>-TblProd[[#This Row],[Bank Lumber]] / 2 + -TblProd[[#This Row],[Bank Gems]] * 2 + -TblProd[[#This Row],[Bank Ore]] / 2</f>
        <v>0</v>
      </c>
      <c r="BD112" s="158"/>
      <c r="BE112" s="158"/>
      <c r="BF112" s="158"/>
      <c r="BG112" s="159">
        <f ca="1">TblProd[[#This Row],[Time]]</f>
        <v>45819.499999999738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204159</v>
      </c>
      <c r="BJ112" s="94">
        <f ca="1">TblProd[[#This Row],[Food]]</f>
        <v>163195</v>
      </c>
      <c r="BK112" s="94">
        <f ca="1">TblProd[[#This Row],[Lumber]]</f>
        <v>71289</v>
      </c>
      <c r="BL112" s="94">
        <f ca="1">TblProd[[#This Row],[Mana]]</f>
        <v>0</v>
      </c>
      <c r="BM112" s="94">
        <f ca="1">TblProd[[#This Row],[Ore]]</f>
        <v>0</v>
      </c>
    </row>
    <row r="113" spans="1:65" x14ac:dyDescent="0.2">
      <c r="A113" s="137">
        <f t="shared" si="0"/>
        <v>62</v>
      </c>
      <c r="B113" s="152">
        <f ca="1">TblImps[[#This Row],[Time]]</f>
        <v>45819.541666666402</v>
      </c>
      <c r="C113" s="153"/>
      <c r="D113" s="154"/>
      <c r="E113" s="94">
        <f ca="1">TblConstr[[#This Row],[Land]]</f>
        <v>50</v>
      </c>
      <c r="F113" s="94">
        <f ca="1">TblPop[[#This Row],[Peasants]]</f>
        <v>155</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204582</v>
      </c>
      <c r="I113" s="94">
        <f ca="1">OFFSET(TblProd[[#This Row],[Food]],-1,0)+OFFSET(TblProd[[#This Row],[Food/hr]],-1,0)+ROUNDUP((TblConstr[[#This Row],[Farms]]*80+TblConstr[[#This Row],[Docks]]*35)*(1+OFFSET(TblProd[[#This Row],[Bonus Food/hr]],-1,0)),0)</f>
        <v>163951</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MAX(3750,_xlfn.CEILING.MATH(TblProd[[#This Row],[Land]]*2.5+OFFSET(TblTech[[#This Row],[Sum of tech]],-1,0)*150))</f>
        <v>3750</v>
      </c>
      <c r="R113" s="142"/>
      <c r="S113" s="94">
        <f ca="1">ROUNDDOWN(TblProd[[#This Row],[Raw Plat/hr]]*(1+TblProd[[#This Row],[Bonus Plat/hr]]),0)</f>
        <v>418</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418.5</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1639.51</v>
      </c>
      <c r="AP113" s="94">
        <f ca="1">(1+race_food_consumption)*TblPop[[#This Row],[Total]]*food_per_person*(1+tech_1_10*TblTech[[#This Row],[1-10]]+tech_7_5*TblTech[[#This Row],[7-5]] + IF(TblMagic[[#This Row],[Active Demonic Pact]]&gt;0,demonic_pact_food_cons,0))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62</v>
      </c>
      <c r="BC113" s="158">
        <f>-TblProd[[#This Row],[Bank Lumber]] / 2 + -TblProd[[#This Row],[Bank Gems]] * 2 + -TblProd[[#This Row],[Bank Ore]] / 2</f>
        <v>0</v>
      </c>
      <c r="BD113" s="158"/>
      <c r="BE113" s="158"/>
      <c r="BF113" s="158"/>
      <c r="BG113" s="159">
        <f ca="1">TblProd[[#This Row],[Time]]</f>
        <v>45819.541666666402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204582</v>
      </c>
      <c r="BJ113" s="94">
        <f ca="1">TblProd[[#This Row],[Food]]</f>
        <v>163951</v>
      </c>
      <c r="BK113" s="94">
        <f ca="1">TblProd[[#This Row],[Lumber]]</f>
        <v>71576</v>
      </c>
      <c r="BL113" s="94">
        <f ca="1">TblProd[[#This Row],[Mana]]</f>
        <v>0</v>
      </c>
      <c r="BM113" s="94">
        <f ca="1">TblProd[[#This Row],[Ore]]</f>
        <v>0</v>
      </c>
    </row>
    <row r="114" spans="1:65" x14ac:dyDescent="0.2">
      <c r="A114" s="137">
        <f t="shared" si="0"/>
        <v>63</v>
      </c>
      <c r="B114" s="152">
        <f ca="1">TblImps[[#This Row],[Time]]</f>
        <v>45819.583333333067</v>
      </c>
      <c r="C114" s="153"/>
      <c r="D114" s="154"/>
      <c r="E114" s="94">
        <f ca="1">TblConstr[[#This Row],[Land]]</f>
        <v>50</v>
      </c>
      <c r="F114" s="94">
        <f ca="1">TblPop[[#This Row],[Peasants]]</f>
        <v>153</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205000</v>
      </c>
      <c r="I114" s="94">
        <f ca="1">OFFSET(TblProd[[#This Row],[Food]],-1,0)+OFFSET(TblProd[[#This Row],[Food/hr]],-1,0)+ROUNDUP((TblConstr[[#This Row],[Farms]]*80+TblConstr[[#This Row],[Docks]]*35)*(1+OFFSET(TblProd[[#This Row],[Bonus Food/hr]],-1,0)),0)</f>
        <v>164699</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MAX(3750,_xlfn.CEILING.MATH(TblProd[[#This Row],[Land]]*2.5+OFFSET(TblTech[[#This Row],[Sum of tech]],-1,0)*150))</f>
        <v>3750</v>
      </c>
      <c r="R114" s="142"/>
      <c r="S114" s="94">
        <f ca="1">ROUNDDOWN(TblProd[[#This Row],[Raw Plat/hr]]*(1+TblProd[[#This Row],[Bonus Plat/hr]]),0)</f>
        <v>413</v>
      </c>
      <c r="T114" s="94">
        <f ca="1">ROUND(TblProd[[#This Row],[Raw Food/hr]]*(1+TblProd[[#This Row],[Bonus Food/hr]])-TblProd[[#This Row],[Food decay]]-TblProd[[#This Row],[Food eaten]],0)</f>
        <v>741</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413.1</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1646.99</v>
      </c>
      <c r="AP114" s="94">
        <f ca="1">(1+race_food_consumption)*TblPop[[#This Row],[Total]]*food_per_person*(1+tech_1_10*TblTech[[#This Row],[1-10]]+tech_7_5*TblTech[[#This Row],[7-5]] + IF(TblMagic[[#This Row],[Active Demonic Pact]]&gt;0,demonic_pact_food_cons,0))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63</v>
      </c>
      <c r="BC114" s="158">
        <f>-TblProd[[#This Row],[Bank Lumber]] / 2 + -TblProd[[#This Row],[Bank Gems]] * 2 + -TblProd[[#This Row],[Bank Ore]] / 2</f>
        <v>0</v>
      </c>
      <c r="BD114" s="158"/>
      <c r="BE114" s="158"/>
      <c r="BF114" s="158"/>
      <c r="BG114" s="159">
        <f ca="1">TblProd[[#This Row],[Time]]</f>
        <v>45819.583333333067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205000</v>
      </c>
      <c r="BJ114" s="94">
        <f ca="1">TblProd[[#This Row],[Food]]</f>
        <v>164699</v>
      </c>
      <c r="BK114" s="94">
        <f ca="1">TblProd[[#This Row],[Lumber]]</f>
        <v>71860</v>
      </c>
      <c r="BL114" s="94">
        <f ca="1">TblProd[[#This Row],[Mana]]</f>
        <v>0</v>
      </c>
      <c r="BM114" s="94">
        <f ca="1">TblProd[[#This Row],[Ore]]</f>
        <v>0</v>
      </c>
    </row>
    <row r="115" spans="1:65" x14ac:dyDescent="0.2">
      <c r="A115" s="137">
        <f t="shared" si="0"/>
        <v>64</v>
      </c>
      <c r="B115" s="152">
        <f ca="1">TblImps[[#This Row],[Time]]</f>
        <v>45819.624999999731</v>
      </c>
      <c r="C115" s="153"/>
      <c r="D115" s="154"/>
      <c r="E115" s="94">
        <f ca="1">TblConstr[[#This Row],[Land]]</f>
        <v>50</v>
      </c>
      <c r="F115" s="94">
        <f ca="1">TblPop[[#This Row],[Peasants]]</f>
        <v>151</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205413</v>
      </c>
      <c r="I115" s="94">
        <f ca="1">OFFSET(TblProd[[#This Row],[Food]],-1,0)+OFFSET(TblProd[[#This Row],[Food/hr]],-1,0)+ROUNDUP((TblConstr[[#This Row],[Farms]]*80+TblConstr[[#This Row],[Docks]]*35)*(1+OFFSET(TblProd[[#This Row],[Bonus Food/hr]],-1,0)),0)</f>
        <v>165440</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MAX(3750,_xlfn.CEILING.MATH(TblProd[[#This Row],[Land]]*2.5+OFFSET(TblTech[[#This Row],[Sum of tech]],-1,0)*150))</f>
        <v>3750</v>
      </c>
      <c r="R115" s="142"/>
      <c r="S115" s="94">
        <f ca="1">ROUNDDOWN(TblProd[[#This Row],[Raw Plat/hr]]*(1+TblProd[[#This Row],[Bonus Plat/hr]]),0)</f>
        <v>407</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407.70000000000005</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1654.4</v>
      </c>
      <c r="AP115" s="94">
        <f ca="1">(1+race_food_consumption)*TblPop[[#This Row],[Total]]*food_per_person*(1+tech_1_10*TblTech[[#This Row],[1-10]]+tech_7_5*TblTech[[#This Row],[7-5]] + IF(TblMagic[[#This Row],[Active Demonic Pact]]&gt;0,demonic_pact_food_cons,0))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64</v>
      </c>
      <c r="BC115" s="158">
        <f>-TblProd[[#This Row],[Bank Lumber]] / 2 + -TblProd[[#This Row],[Bank Gems]] * 2 + -TblProd[[#This Row],[Bank Ore]] / 2</f>
        <v>0</v>
      </c>
      <c r="BD115" s="158"/>
      <c r="BE115" s="158"/>
      <c r="BF115" s="158"/>
      <c r="BG115" s="159">
        <f ca="1">TblProd[[#This Row],[Time]]</f>
        <v>45819.624999999731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205413</v>
      </c>
      <c r="BJ115" s="94">
        <f ca="1">TblProd[[#This Row],[Food]]</f>
        <v>165440</v>
      </c>
      <c r="BK115" s="94">
        <f ca="1">TblProd[[#This Row],[Lumber]]</f>
        <v>72141</v>
      </c>
      <c r="BL115" s="94">
        <f ca="1">TblProd[[#This Row],[Mana]]</f>
        <v>0</v>
      </c>
      <c r="BM115" s="94">
        <f ca="1">TblProd[[#This Row],[Ore]]</f>
        <v>0</v>
      </c>
    </row>
    <row r="116" spans="1:65" x14ac:dyDescent="0.2">
      <c r="A116" s="137">
        <f t="shared" si="0"/>
        <v>65</v>
      </c>
      <c r="B116" s="152">
        <f ca="1">TblImps[[#This Row],[Time]]</f>
        <v>45819.666666666395</v>
      </c>
      <c r="C116" s="153"/>
      <c r="D116" s="154"/>
      <c r="E116" s="94">
        <f ca="1">TblConstr[[#This Row],[Land]]</f>
        <v>50</v>
      </c>
      <c r="F116" s="94">
        <f ca="1">TblPop[[#This Row],[Peasants]]</f>
        <v>149</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205820</v>
      </c>
      <c r="I116" s="94">
        <f ca="1">OFFSET(TblProd[[#This Row],[Food]],-1,0)+OFFSET(TblProd[[#This Row],[Food/hr]],-1,0)+ROUNDUP((TblConstr[[#This Row],[Farms]]*80+TblConstr[[#This Row],[Docks]]*35)*(1+OFFSET(TblProd[[#This Row],[Bonus Food/hr]],-1,0)),0)</f>
        <v>166173</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MAX(3750,_xlfn.CEILING.MATH(TblProd[[#This Row],[Land]]*2.5+OFFSET(TblTech[[#This Row],[Sum of tech]],-1,0)*150))</f>
        <v>3750</v>
      </c>
      <c r="R116" s="142"/>
      <c r="S116" s="94">
        <f ca="1">ROUNDDOWN(TblProd[[#This Row],[Raw Plat/hr]]*(1+TblProd[[#This Row],[Bonus Plat/hr]]),0)</f>
        <v>402</v>
      </c>
      <c r="T116" s="94">
        <f ca="1">ROUND(TblProd[[#This Row],[Raw Food/hr]]*(1+TblProd[[#This Row],[Bonus Food/hr]])-TblProd[[#This Row],[Food decay]]-TblProd[[#This Row],[Food eaten]],0)</f>
        <v>726</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402.3</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1661.73</v>
      </c>
      <c r="AP116" s="94">
        <f ca="1">(1+race_food_consumption)*TblPop[[#This Row],[Total]]*food_per_person*(1+tech_1_10*TblTech[[#This Row],[1-10]]+tech_7_5*TblTech[[#This Row],[7-5]] + IF(TblMagic[[#This Row],[Active Demonic Pact]]&gt;0,demonic_pact_food_cons,0))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65</v>
      </c>
      <c r="BC116" s="158">
        <f>-TblProd[[#This Row],[Bank Lumber]] / 2 + -TblProd[[#This Row],[Bank Gems]] * 2 + -TblProd[[#This Row],[Bank Ore]] / 2</f>
        <v>0</v>
      </c>
      <c r="BD116" s="158"/>
      <c r="BE116" s="158"/>
      <c r="BF116" s="158"/>
      <c r="BG116" s="159">
        <f ca="1">TblProd[[#This Row],[Time]]</f>
        <v>45819.666666666395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205820</v>
      </c>
      <c r="BJ116" s="94">
        <f ca="1">TblProd[[#This Row],[Food]]</f>
        <v>166173</v>
      </c>
      <c r="BK116" s="94">
        <f ca="1">TblProd[[#This Row],[Lumber]]</f>
        <v>72420</v>
      </c>
      <c r="BL116" s="94">
        <f ca="1">TblProd[[#This Row],[Mana]]</f>
        <v>0</v>
      </c>
      <c r="BM116" s="94">
        <f ca="1">TblProd[[#This Row],[Ore]]</f>
        <v>0</v>
      </c>
    </row>
    <row r="117" spans="1:65" x14ac:dyDescent="0.2">
      <c r="A117" s="137">
        <f t="shared" si="0"/>
        <v>66</v>
      </c>
      <c r="B117" s="152">
        <f ca="1">TblImps[[#This Row],[Time]]</f>
        <v>45819.708333333059</v>
      </c>
      <c r="C117" s="153"/>
      <c r="D117" s="154"/>
      <c r="E117" s="94">
        <f ca="1">TblConstr[[#This Row],[Land]]</f>
        <v>50</v>
      </c>
      <c r="F117" s="94">
        <f ca="1">TblPop[[#This Row],[Peasants]]</f>
        <v>148</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206222</v>
      </c>
      <c r="I117" s="94">
        <f ca="1">OFFSET(TblProd[[#This Row],[Food]],-1,0)+OFFSET(TblProd[[#This Row],[Food/hr]],-1,0)+ROUNDUP((TblConstr[[#This Row],[Farms]]*80+TblConstr[[#This Row],[Docks]]*35)*(1+OFFSET(TblProd[[#This Row],[Bonus Food/hr]],-1,0)),0)</f>
        <v>166899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MAX(3750,_xlfn.CEILING.MATH(TblProd[[#This Row],[Land]]*2.5+OFFSET(TblTech[[#This Row],[Sum of tech]],-1,0)*150))</f>
        <v>3750</v>
      </c>
      <c r="R117" s="142"/>
      <c r="S117" s="94">
        <f ca="1">ROUNDDOWN(TblProd[[#This Row],[Raw Plat/hr]]*(1+TblProd[[#This Row],[Bonus Plat/hr]]),0)</f>
        <v>399</v>
      </c>
      <c r="T117" s="94">
        <f ca="1">ROUND(TblProd[[#This Row],[Raw Food/hr]]*(1+TblProd[[#This Row],[Bonus Food/hr]])-TblProd[[#This Row],[Food decay]]-TblProd[[#This Row],[Food eaten]],0)</f>
        <v>719</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399.6</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1668.99</v>
      </c>
      <c r="AP117" s="94">
        <f ca="1">(1+race_food_consumption)*TblPop[[#This Row],[Total]]*food_per_person*(1+tech_1_10*TblTech[[#This Row],[1-10]]+tech_7_5*TblTech[[#This Row],[7-5]] + IF(TblMagic[[#This Row],[Active Demonic Pact]]&gt;0,demonic_pact_food_cons,0))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66</v>
      </c>
      <c r="BC117" s="158">
        <f>-TblProd[[#This Row],[Bank Lumber]] / 2 + -TblProd[[#This Row],[Bank Gems]] * 2 + -TblProd[[#This Row],[Bank Ore]] / 2</f>
        <v>0</v>
      </c>
      <c r="BD117" s="158"/>
      <c r="BE117" s="158"/>
      <c r="BF117" s="158"/>
      <c r="BG117" s="159">
        <f ca="1">TblProd[[#This Row],[Time]]</f>
        <v>45819.708333333059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206222</v>
      </c>
      <c r="BJ117" s="94">
        <f ca="1">TblProd[[#This Row],[Food]]</f>
        <v>166899</v>
      </c>
      <c r="BK117" s="94">
        <f ca="1">TblProd[[#This Row],[Lumber]]</f>
        <v>72696</v>
      </c>
      <c r="BL117" s="94">
        <f ca="1">TblProd[[#This Row],[Mana]]</f>
        <v>0</v>
      </c>
      <c r="BM117" s="94">
        <f ca="1">TblProd[[#This Row],[Ore]]</f>
        <v>0</v>
      </c>
    </row>
    <row r="118" spans="1:65" x14ac:dyDescent="0.2">
      <c r="A118" s="137">
        <f t="shared" si="0"/>
        <v>67</v>
      </c>
      <c r="B118" s="152">
        <f ca="1">TblImps[[#This Row],[Time]]</f>
        <v>45819.749999999724</v>
      </c>
      <c r="C118" s="153"/>
      <c r="D118" s="154"/>
      <c r="E118" s="94">
        <f ca="1">TblConstr[[#This Row],[Land]]</f>
        <v>50</v>
      </c>
      <c r="F118" s="94">
        <f ca="1">TblPop[[#This Row],[Peasants]]</f>
        <v>147</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206621</v>
      </c>
      <c r="I118" s="94">
        <f ca="1">OFFSET(TblProd[[#This Row],[Food]],-1,0)+OFFSET(TblProd[[#This Row],[Food/hr]],-1,0)+ROUNDUP((TblConstr[[#This Row],[Farms]]*80+TblConstr[[#This Row],[Docks]]*35)*(1+OFFSET(TblProd[[#This Row],[Bonus Food/hr]],-1,0)),0)</f>
        <v>167618</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MAX(3750,_xlfn.CEILING.MATH(TblProd[[#This Row],[Land]]*2.5+OFFSET(TblTech[[#This Row],[Sum of tech]],-1,0)*150))</f>
        <v>3750</v>
      </c>
      <c r="R118" s="142"/>
      <c r="S118" s="94">
        <f ca="1">ROUNDDOWN(TblProd[[#This Row],[Raw Plat/hr]]*(1+TblProd[[#This Row],[Bonus Plat/hr]]),0)</f>
        <v>396</v>
      </c>
      <c r="T118" s="94">
        <f ca="1">ROUND(TblProd[[#This Row],[Raw Food/hr]]*(1+TblProd[[#This Row],[Bonus Food/hr]])-TblProd[[#This Row],[Food decay]]-TblProd[[#This Row],[Food eaten]],0)</f>
        <v>712</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396.90000000000003</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1676.18</v>
      </c>
      <c r="AP118" s="94">
        <f ca="1">(1+race_food_consumption)*TblPop[[#This Row],[Total]]*food_per_person*(1+tech_1_10*TblTech[[#This Row],[1-10]]+tech_7_5*TblTech[[#This Row],[7-5]] + IF(TblMagic[[#This Row],[Active Demonic Pact]]&gt;0,demonic_pact_food_cons,0))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67</v>
      </c>
      <c r="BC118" s="158">
        <f>-TblProd[[#This Row],[Bank Lumber]] / 2 + -TblProd[[#This Row],[Bank Gems]] * 2 + -TblProd[[#This Row],[Bank Ore]] / 2</f>
        <v>0</v>
      </c>
      <c r="BD118" s="158"/>
      <c r="BE118" s="158"/>
      <c r="BF118" s="158"/>
      <c r="BG118" s="159">
        <f ca="1">TblProd[[#This Row],[Time]]</f>
        <v>45819.749999999724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206621</v>
      </c>
      <c r="BJ118" s="94">
        <f ca="1">TblProd[[#This Row],[Food]]</f>
        <v>167618</v>
      </c>
      <c r="BK118" s="94">
        <f ca="1">TblProd[[#This Row],[Lumber]]</f>
        <v>72969</v>
      </c>
      <c r="BL118" s="94">
        <f ca="1">TblProd[[#This Row],[Mana]]</f>
        <v>0</v>
      </c>
      <c r="BM118" s="94">
        <f ca="1">TblProd[[#This Row],[Ore]]</f>
        <v>0</v>
      </c>
    </row>
    <row r="119" spans="1:65" x14ac:dyDescent="0.2">
      <c r="A119" s="137">
        <f t="shared" ref="A119:A136" si="1">A118+1</f>
        <v>68</v>
      </c>
      <c r="B119" s="152">
        <f ca="1">TblImps[[#This Row],[Time]]</f>
        <v>45819.791666666388</v>
      </c>
      <c r="C119" s="153"/>
      <c r="D119" s="154"/>
      <c r="E119" s="94">
        <f ca="1">TblConstr[[#This Row],[Land]]</f>
        <v>50</v>
      </c>
      <c r="F119" s="94">
        <f ca="1">TblPop[[#This Row],[Peasants]]</f>
        <v>146</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207017</v>
      </c>
      <c r="I119" s="94">
        <f ca="1">OFFSET(TblProd[[#This Row],[Food]],-1,0)+OFFSET(TblProd[[#This Row],[Food/hr]],-1,0)+ROUNDUP((TblConstr[[#This Row],[Farms]]*80+TblConstr[[#This Row],[Docks]]*35)*(1+OFFSET(TblProd[[#This Row],[Bonus Food/hr]],-1,0)),0)</f>
        <v>168330</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MAX(3750,_xlfn.CEILING.MATH(TblProd[[#This Row],[Land]]*2.5+OFFSET(TblTech[[#This Row],[Sum of tech]],-1,0)*150))</f>
        <v>3750</v>
      </c>
      <c r="R119" s="142"/>
      <c r="S119" s="94">
        <f ca="1">ROUNDDOWN(TblProd[[#This Row],[Raw Plat/hr]]*(1+TblProd[[#This Row],[Bonus Plat/hr]]),0)</f>
        <v>394</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394.20000000000005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1683.3</v>
      </c>
      <c r="AP119" s="94">
        <f ca="1">(1+race_food_consumption)*TblPop[[#This Row],[Total]]*food_per_person*(1+tech_1_10*TblTech[[#This Row],[1-10]]+tech_7_5*TblTech[[#This Row],[7-5]] + IF(TblMagic[[#This Row],[Active Demonic Pact]]&gt;0,demonic_pact_food_cons,0))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68</v>
      </c>
      <c r="BC119" s="158">
        <f>-TblProd[[#This Row],[Bank Lumber]] / 2 + -TblProd[[#This Row],[Bank Gems]] * 2 + -TblProd[[#This Row],[Bank Ore]] / 2</f>
        <v>0</v>
      </c>
      <c r="BD119" s="158"/>
      <c r="BE119" s="158"/>
      <c r="BF119" s="158"/>
      <c r="BG119" s="159">
        <f ca="1">TblProd[[#This Row],[Time]]</f>
        <v>45819.791666666388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207017</v>
      </c>
      <c r="BJ119" s="94">
        <f ca="1">TblProd[[#This Row],[Food]]</f>
        <v>168330</v>
      </c>
      <c r="BK119" s="94">
        <f ca="1">TblProd[[#This Row],[Lumber]]</f>
        <v>73239</v>
      </c>
      <c r="BL119" s="94">
        <f ca="1">TblProd[[#This Row],[Mana]]</f>
        <v>0</v>
      </c>
      <c r="BM119" s="94">
        <f ca="1">TblProd[[#This Row],[Ore]]</f>
        <v>0</v>
      </c>
    </row>
    <row r="120" spans="1:65" x14ac:dyDescent="0.2">
      <c r="A120" s="137">
        <f t="shared" si="1"/>
        <v>69</v>
      </c>
      <c r="B120" s="152">
        <f ca="1">TblImps[[#This Row],[Time]]</f>
        <v>45819.833333333052</v>
      </c>
      <c r="C120" s="153"/>
      <c r="D120" s="154"/>
      <c r="E120" s="94">
        <f ca="1">TblConstr[[#This Row],[Land]]</f>
        <v>50</v>
      </c>
      <c r="F120" s="94">
        <f ca="1">TblPop[[#This Row],[Peasants]]</f>
        <v>145</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207411</v>
      </c>
      <c r="I120" s="94">
        <f ca="1">OFFSET(TblProd[[#This Row],[Food]],-1,0)+OFFSET(TblProd[[#This Row],[Food/hr]],-1,0)+ROUNDUP((TblConstr[[#This Row],[Farms]]*80+TblConstr[[#This Row],[Docks]]*35)*(1+OFFSET(TblProd[[#This Row],[Bonus Food/hr]],-1,0)),0)</f>
        <v>169034</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MAX(3750,_xlfn.CEILING.MATH(TblProd[[#This Row],[Land]]*2.5+OFFSET(TblTech[[#This Row],[Sum of tech]],-1,0)*150))</f>
        <v>3750</v>
      </c>
      <c r="R120" s="142"/>
      <c r="S120" s="94">
        <f ca="1">ROUNDDOWN(TblProd[[#This Row],[Raw Plat/hr]]*(1+TblProd[[#This Row],[Bonus Plat/hr]]),0)</f>
        <v>391</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391.5</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1690.3400000000001</v>
      </c>
      <c r="AP120" s="94">
        <f ca="1">(1+race_food_consumption)*TblPop[[#This Row],[Total]]*food_per_person*(1+tech_1_10*TblTech[[#This Row],[1-10]]+tech_7_5*TblTech[[#This Row],[7-5]] + IF(TblMagic[[#This Row],[Active Demonic Pact]]&gt;0,demonic_pact_food_cons,0))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69</v>
      </c>
      <c r="BC120" s="158">
        <f>-TblProd[[#This Row],[Bank Lumber]] / 2 + -TblProd[[#This Row],[Bank Gems]] * 2 + -TblProd[[#This Row],[Bank Ore]] / 2</f>
        <v>0</v>
      </c>
      <c r="BD120" s="158"/>
      <c r="BE120" s="158"/>
      <c r="BF120" s="158"/>
      <c r="BG120" s="159">
        <f ca="1">TblProd[[#This Row],[Time]]</f>
        <v>45819.833333333052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207411</v>
      </c>
      <c r="BJ120" s="94">
        <f ca="1">TblProd[[#This Row],[Food]]</f>
        <v>169034</v>
      </c>
      <c r="BK120" s="94">
        <f ca="1">TblProd[[#This Row],[Lumber]]</f>
        <v>73507</v>
      </c>
      <c r="BL120" s="94">
        <f ca="1">TblProd[[#This Row],[Mana]]</f>
        <v>0</v>
      </c>
      <c r="BM120" s="94">
        <f ca="1">TblProd[[#This Row],[Ore]]</f>
        <v>0</v>
      </c>
    </row>
    <row r="121" spans="1:65" x14ac:dyDescent="0.2">
      <c r="A121" s="137">
        <f t="shared" si="1"/>
        <v>70</v>
      </c>
      <c r="B121" s="152">
        <f ca="1">TblImps[[#This Row],[Time]]</f>
        <v>45819.874999999716</v>
      </c>
      <c r="C121" s="153"/>
      <c r="D121" s="154"/>
      <c r="E121" s="94">
        <f ca="1">TblConstr[[#This Row],[Land]]</f>
        <v>50</v>
      </c>
      <c r="F121" s="94">
        <f ca="1">TblPop[[#This Row],[Peasants]]</f>
        <v>144</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207802</v>
      </c>
      <c r="I121" s="94">
        <f ca="1">OFFSET(TblProd[[#This Row],[Food]],-1,0)+OFFSET(TblProd[[#This Row],[Food/hr]],-1,0)+ROUNDUP((TblConstr[[#This Row],[Farms]]*80+TblConstr[[#This Row],[Docks]]*35)*(1+OFFSET(TblProd[[#This Row],[Bonus Food/hr]],-1,0)),0)</f>
        <v>169731</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MAX(3750,_xlfn.CEILING.MATH(TblProd[[#This Row],[Land]]*2.5+OFFSET(TblTech[[#This Row],[Sum of tech]],-1,0)*150))</f>
        <v>3750</v>
      </c>
      <c r="R121" s="142"/>
      <c r="S121" s="94">
        <f ca="1">ROUNDDOWN(TblProd[[#This Row],[Raw Plat/hr]]*(1+TblProd[[#This Row],[Bonus Plat/hr]]),0)</f>
        <v>388</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388.8</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1697.31</v>
      </c>
      <c r="AP121" s="94">
        <f ca="1">(1+race_food_consumption)*TblPop[[#This Row],[Total]]*food_per_person*(1+tech_1_10*TblTech[[#This Row],[1-10]]+tech_7_5*TblTech[[#This Row],[7-5]] + IF(TblMagic[[#This Row],[Active Demonic Pact]]&gt;0,demonic_pact_food_cons,0))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70</v>
      </c>
      <c r="BC121" s="158">
        <f>-TblProd[[#This Row],[Bank Lumber]] / 2 + -TblProd[[#This Row],[Bank Gems]] * 2 + -TblProd[[#This Row],[Bank Ore]] / 2</f>
        <v>0</v>
      </c>
      <c r="BD121" s="158"/>
      <c r="BE121" s="158"/>
      <c r="BF121" s="158"/>
      <c r="BG121" s="159">
        <f ca="1">TblProd[[#This Row],[Time]]</f>
        <v>45819.874999999716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207802</v>
      </c>
      <c r="BJ121" s="94">
        <f ca="1">TblProd[[#This Row],[Food]]</f>
        <v>169731</v>
      </c>
      <c r="BK121" s="94">
        <f ca="1">TblProd[[#This Row],[Lumber]]</f>
        <v>73772</v>
      </c>
      <c r="BL121" s="94">
        <f ca="1">TblProd[[#This Row],[Mana]]</f>
        <v>0</v>
      </c>
      <c r="BM121" s="94">
        <f ca="1">TblProd[[#This Row],[Ore]]</f>
        <v>0</v>
      </c>
    </row>
    <row r="122" spans="1:65" x14ac:dyDescent="0.2">
      <c r="A122" s="137">
        <f t="shared" si="1"/>
        <v>71</v>
      </c>
      <c r="B122" s="152">
        <f ca="1">TblImps[[#This Row],[Time]]</f>
        <v>45819.91666666638</v>
      </c>
      <c r="C122" s="153"/>
      <c r="D122" s="154"/>
      <c r="E122" s="94">
        <f ca="1">TblConstr[[#This Row],[Land]]</f>
        <v>50</v>
      </c>
      <c r="F122" s="94">
        <f ca="1">TblPop[[#This Row],[Peasants]]</f>
        <v>143</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208190</v>
      </c>
      <c r="I122" s="94">
        <f ca="1">OFFSET(TblProd[[#This Row],[Food]],-1,0)+OFFSET(TblProd[[#This Row],[Food/hr]],-1,0)+ROUNDUP((TblConstr[[#This Row],[Farms]]*80+TblConstr[[#This Row],[Docks]]*35)*(1+OFFSET(TblProd[[#This Row],[Bonus Food/hr]],-1,0)),0)</f>
        <v>170421</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MAX(3750,_xlfn.CEILING.MATH(TblProd[[#This Row],[Land]]*2.5+OFFSET(TblTech[[#This Row],[Sum of tech]],-1,0)*150))</f>
        <v>3750</v>
      </c>
      <c r="R122" s="142"/>
      <c r="S122" s="94">
        <f ca="1">ROUNDDOWN(TblProd[[#This Row],[Raw Plat/hr]]*(1+TblProd[[#This Row],[Bonus Plat/hr]]),0)</f>
        <v>386</v>
      </c>
      <c r="T122" s="94">
        <f ca="1">ROUND(TblProd[[#This Row],[Raw Food/hr]]*(1+TblProd[[#This Row],[Bonus Food/hr]])-TblProd[[#This Row],[Food decay]]-TblProd[[#This Row],[Food eaten]],0)</f>
        <v>684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386.1</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1704.21</v>
      </c>
      <c r="AP122" s="94">
        <f ca="1">(1+race_food_consumption)*TblPop[[#This Row],[Total]]*food_per_person*(1+tech_1_10*TblTech[[#This Row],[1-10]]+tech_7_5*TblTech[[#This Row],[7-5]] + IF(TblMagic[[#This Row],[Active Demonic Pact]]&gt;0,demonic_pact_food_cons,0))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71</v>
      </c>
      <c r="BC122" s="158">
        <f>-TblProd[[#This Row],[Bank Lumber]] / 2 + -TblProd[[#This Row],[Bank Gems]] * 2 + -TblProd[[#This Row],[Bank Ore]] / 2</f>
        <v>0</v>
      </c>
      <c r="BD122" s="158"/>
      <c r="BE122" s="158"/>
      <c r="BF122" s="158"/>
      <c r="BG122" s="159">
        <f ca="1">TblProd[[#This Row],[Time]]</f>
        <v>45819.91666666638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208190</v>
      </c>
      <c r="BJ122" s="94">
        <f ca="1">TblProd[[#This Row],[Food]]</f>
        <v>170421</v>
      </c>
      <c r="BK122" s="94">
        <f ca="1">TblProd[[#This Row],[Lumber]]</f>
        <v>74034</v>
      </c>
      <c r="BL122" s="94">
        <f ca="1">TblProd[[#This Row],[Mana]]</f>
        <v>0</v>
      </c>
      <c r="BM122" s="94">
        <f ca="1">TblProd[[#This Row],[Ore]]</f>
        <v>0</v>
      </c>
    </row>
    <row r="123" spans="1:65" x14ac:dyDescent="0.2">
      <c r="A123" s="137">
        <f t="shared" si="1"/>
        <v>72</v>
      </c>
      <c r="B123" s="152">
        <f ca="1">TblImps[[#This Row],[Time]]</f>
        <v>45819.958333333045</v>
      </c>
      <c r="C123" s="153"/>
      <c r="D123" s="154"/>
      <c r="E123" s="94">
        <f ca="1">TblConstr[[#This Row],[Land]]</f>
        <v>50</v>
      </c>
      <c r="F123" s="94">
        <f ca="1">TblPop[[#This Row],[Peasants]]</f>
        <v>142</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208576</v>
      </c>
      <c r="I123" s="94">
        <f ca="1">OFFSET(TblProd[[#This Row],[Food]],-1,0)+OFFSET(TblProd[[#This Row],[Food/hr]],-1,0)+ROUNDUP((TblConstr[[#This Row],[Farms]]*80+TblConstr[[#This Row],[Docks]]*35)*(1+OFFSET(TblProd[[#This Row],[Bonus Food/hr]],-1,0)),0)</f>
        <v>171105</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MAX(3750,_xlfn.CEILING.MATH(TblProd[[#This Row],[Land]]*2.5+OFFSET(TblTech[[#This Row],[Sum of tech]],-1,0)*150))</f>
        <v>3750</v>
      </c>
      <c r="R123" s="142"/>
      <c r="S123" s="94">
        <f ca="1">ROUNDDOWN(TblProd[[#This Row],[Raw Plat/hr]]*(1+TblProd[[#This Row],[Bonus Plat/hr]]),0)</f>
        <v>383</v>
      </c>
      <c r="T123" s="94">
        <f ca="1">ROUND(TblProd[[#This Row],[Raw Food/hr]]*(1+TblProd[[#This Row],[Bonus Food/hr]])-TblProd[[#This Row],[Food decay]]-TblProd[[#This Row],[Food eaten]],0)</f>
        <v>677</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383.40000000000003</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1711.05</v>
      </c>
      <c r="AP123" s="94">
        <f ca="1">(1+race_food_consumption)*TblPop[[#This Row],[Total]]*food_per_person*(1+tech_1_10*TblTech[[#This Row],[1-10]]+tech_7_5*TblTech[[#This Row],[7-5]] + IF(TblMagic[[#This Row],[Active Demonic Pact]]&gt;0,demonic_pact_food_cons,0))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72</v>
      </c>
      <c r="BC123" s="158">
        <f>-TblProd[[#This Row],[Bank Lumber]] / 2 + -TblProd[[#This Row],[Bank Gems]] * 2 + -TblProd[[#This Row],[Bank Ore]] / 2</f>
        <v>0</v>
      </c>
      <c r="BD123" s="158"/>
      <c r="BE123" s="158"/>
      <c r="BF123" s="158"/>
      <c r="BG123" s="159">
        <f ca="1">TblProd[[#This Row],[Time]]</f>
        <v>45819.958333333045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208576</v>
      </c>
      <c r="BJ123" s="94">
        <f ca="1">TblProd[[#This Row],[Food]]</f>
        <v>171105</v>
      </c>
      <c r="BK123" s="94">
        <f ca="1">TblProd[[#This Row],[Lumber]]</f>
        <v>74294</v>
      </c>
      <c r="BL123" s="94">
        <f ca="1">TblProd[[#This Row],[Mana]]</f>
        <v>0</v>
      </c>
      <c r="BM123" s="94">
        <f ca="1">TblProd[[#This Row],[Ore]]</f>
        <v>0</v>
      </c>
    </row>
    <row r="124" spans="1:65" x14ac:dyDescent="0.2">
      <c r="A124" s="137">
        <f t="shared" si="1"/>
        <v>73</v>
      </c>
      <c r="B124" s="152">
        <f ca="1">TblImps[[#This Row],[Time]]</f>
        <v>45819.999999999709</v>
      </c>
      <c r="C124" s="153"/>
      <c r="D124" s="154"/>
      <c r="E124" s="94">
        <f ca="1">TblConstr[[#This Row],[Land]]</f>
        <v>50</v>
      </c>
      <c r="F124" s="94">
        <f ca="1">TblPop[[#This Row],[Peasants]]</f>
        <v>141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208959</v>
      </c>
      <c r="I124" s="94">
        <f ca="1">OFFSET(TblProd[[#This Row],[Food]],-1,0)+OFFSET(TblProd[[#This Row],[Food/hr]],-1,0)+ROUNDUP((TblConstr[[#This Row],[Farms]]*80+TblConstr[[#This Row],[Docks]]*35)*(1+OFFSET(TblProd[[#This Row],[Bonus Food/hr]],-1,0)),0)</f>
        <v>171782</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MAX(3750,_xlfn.CEILING.MATH(TblProd[[#This Row],[Land]]*2.5+OFFSET(TblTech[[#This Row],[Sum of tech]],-1,0)*150))</f>
        <v>3750</v>
      </c>
      <c r="R124" s="142"/>
      <c r="S124" s="94">
        <f ca="1">ROUNDDOWN(TblProd[[#This Row],[Raw Plat/hr]]*(1+TblProd[[#This Row],[Bonus Plat/hr]]),0)</f>
        <v>380</v>
      </c>
      <c r="T124" s="94">
        <f ca="1">ROUND(TblProd[[#This Row],[Raw Food/hr]]*(1+TblProd[[#This Row],[Bonus Food/hr]])-TblProd[[#This Row],[Food decay]]-TblProd[[#This Row],[Food eaten]],0)</f>
        <v>670</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380.70000000000005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1717.82</v>
      </c>
      <c r="AP124" s="94">
        <f ca="1">(1+race_food_consumption)*TblPop[[#This Row],[Total]]*food_per_person*(1+tech_1_10*TblTech[[#This Row],[1-10]]+tech_7_5*TblTech[[#This Row],[7-5]] + IF(TblMagic[[#This Row],[Active Demonic Pact]]&gt;0,demonic_pact_food_cons,0))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73</v>
      </c>
      <c r="BC124" s="158">
        <f>-TblProd[[#This Row],[Bank Lumber]] / 2 + -TblProd[[#This Row],[Bank Gems]] * 2 + -TblProd[[#This Row],[Bank Ore]] / 2</f>
        <v>0</v>
      </c>
      <c r="BD124" s="158"/>
      <c r="BE124" s="158"/>
      <c r="BF124" s="158"/>
      <c r="BG124" s="159">
        <f ca="1">TblProd[[#This Row],[Time]]</f>
        <v>45819.999999999709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208959</v>
      </c>
      <c r="BJ124" s="94">
        <f ca="1">TblProd[[#This Row],[Food]]</f>
        <v>171782</v>
      </c>
      <c r="BK124" s="94">
        <f ca="1">TblProd[[#This Row],[Lumber]]</f>
        <v>74551</v>
      </c>
      <c r="BL124" s="94">
        <f ca="1">TblProd[[#This Row],[Mana]]</f>
        <v>0</v>
      </c>
      <c r="BM124" s="94">
        <f ca="1">TblProd[[#This Row],[Ore]]</f>
        <v>0</v>
      </c>
    </row>
    <row r="125" spans="1:65" x14ac:dyDescent="0.2">
      <c r="A125" s="137">
        <f t="shared" si="1"/>
        <v>74</v>
      </c>
      <c r="B125" s="152">
        <f ca="1">TblImps[[#This Row],[Time]]</f>
        <v>45820.041666666373</v>
      </c>
      <c r="C125" s="153"/>
      <c r="D125" s="154"/>
      <c r="E125" s="94">
        <f ca="1">TblConstr[[#This Row],[Land]]</f>
        <v>50</v>
      </c>
      <c r="F125" s="94">
        <f ca="1">TblPop[[#This Row],[Peasants]]</f>
        <v>140</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209339</v>
      </c>
      <c r="I125" s="94">
        <f ca="1">OFFSET(TblProd[[#This Row],[Food]],-1,0)+OFFSET(TblProd[[#This Row],[Food/hr]],-1,0)+ROUNDUP((TblConstr[[#This Row],[Farms]]*80+TblConstr[[#This Row],[Docks]]*35)*(1+OFFSET(TblProd[[#This Row],[Bonus Food/hr]],-1,0)),0)</f>
        <v>172452</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MAX(3750,_xlfn.CEILING.MATH(TblProd[[#This Row],[Land]]*2.5+OFFSET(TblTech[[#This Row],[Sum of tech]],-1,0)*150))</f>
        <v>3750</v>
      </c>
      <c r="R125" s="142"/>
      <c r="S125" s="94">
        <f ca="1">ROUNDDOWN(TblProd[[#This Row],[Raw Plat/hr]]*(1+TblProd[[#This Row],[Bonus Plat/hr]]),0)</f>
        <v>378</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378</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1724.52</v>
      </c>
      <c r="AP125" s="94">
        <f ca="1">(1+race_food_consumption)*TblPop[[#This Row],[Total]]*food_per_person*(1+tech_1_10*TblTech[[#This Row],[1-10]]+tech_7_5*TblTech[[#This Row],[7-5]] + IF(TblMagic[[#This Row],[Active Demonic Pact]]&gt;0,demonic_pact_food_cons,0))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74</v>
      </c>
      <c r="BC125" s="158">
        <f>-TblProd[[#This Row],[Bank Lumber]] / 2 + -TblProd[[#This Row],[Bank Gems]] * 2 + -TblProd[[#This Row],[Bank Ore]] / 2</f>
        <v>0</v>
      </c>
      <c r="BD125" s="158"/>
      <c r="BE125" s="158"/>
      <c r="BF125" s="158"/>
      <c r="BG125" s="159">
        <f ca="1">TblProd[[#This Row],[Time]]</f>
        <v>45820.041666666373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209339</v>
      </c>
      <c r="BJ125" s="94">
        <f ca="1">TblProd[[#This Row],[Food]]</f>
        <v>172452</v>
      </c>
      <c r="BK125" s="94">
        <f ca="1">TblProd[[#This Row],[Lumber]]</f>
        <v>74805</v>
      </c>
      <c r="BL125" s="94">
        <f ca="1">TblProd[[#This Row],[Mana]]</f>
        <v>0</v>
      </c>
      <c r="BM125" s="94">
        <f ca="1">TblProd[[#This Row],[Ore]]</f>
        <v>0</v>
      </c>
    </row>
    <row r="126" spans="1:65" x14ac:dyDescent="0.2">
      <c r="A126" s="137">
        <f t="shared" si="1"/>
        <v>75</v>
      </c>
      <c r="B126" s="152">
        <f ca="1">TblImps[[#This Row],[Time]]</f>
        <v>45820.083333333037</v>
      </c>
      <c r="C126" s="153"/>
      <c r="D126" s="154"/>
      <c r="E126" s="94">
        <f ca="1">TblConstr[[#This Row],[Land]]</f>
        <v>50</v>
      </c>
      <c r="F126" s="94">
        <f ca="1">TblPop[[#This Row],[Peasants]]</f>
        <v>139</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209717</v>
      </c>
      <c r="I126" s="94">
        <f ca="1">OFFSET(TblProd[[#This Row],[Food]],-1,0)+OFFSET(TblProd[[#This Row],[Food/hr]],-1,0)+ROUNDUP((TblConstr[[#This Row],[Farms]]*80+TblConstr[[#This Row],[Docks]]*35)*(1+OFFSET(TblProd[[#This Row],[Bonus Food/hr]],-1,0)),0)</f>
        <v>173115</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MAX(3750,_xlfn.CEILING.MATH(TblProd[[#This Row],[Land]]*2.5+OFFSET(TblTech[[#This Row],[Sum of tech]],-1,0)*150))</f>
        <v>3750</v>
      </c>
      <c r="R126" s="142"/>
      <c r="S126" s="94">
        <f ca="1">ROUNDDOWN(TblProd[[#This Row],[Raw Plat/hr]]*(1+TblProd[[#This Row],[Bonus Plat/hr]]),0)</f>
        <v>375</v>
      </c>
      <c r="T126" s="94">
        <f ca="1">ROUND(TblProd[[#This Row],[Raw Food/hr]]*(1+TblProd[[#This Row],[Bonus Food/hr]])-TblProd[[#This Row],[Food decay]]-TblProd[[#This Row],[Food eaten]],0)</f>
        <v>657</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375.3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1731.15</v>
      </c>
      <c r="AP126" s="94">
        <f ca="1">(1+race_food_consumption)*TblPop[[#This Row],[Total]]*food_per_person*(1+tech_1_10*TblTech[[#This Row],[1-10]]+tech_7_5*TblTech[[#This Row],[7-5]] + IF(TblMagic[[#This Row],[Active Demonic Pact]]&gt;0,demonic_pact_food_cons,0))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75</v>
      </c>
      <c r="BC126" s="158">
        <f>-TblProd[[#This Row],[Bank Lumber]] / 2 + -TblProd[[#This Row],[Bank Gems]] * 2 + -TblProd[[#This Row],[Bank Ore]] / 2</f>
        <v>0</v>
      </c>
      <c r="BD126" s="158"/>
      <c r="BE126" s="158"/>
      <c r="BF126" s="158"/>
      <c r="BG126" s="159">
        <f ca="1">TblProd[[#This Row],[Time]]</f>
        <v>45820.083333333037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209717</v>
      </c>
      <c r="BJ126" s="94">
        <f ca="1">TblProd[[#This Row],[Food]]</f>
        <v>173115</v>
      </c>
      <c r="BK126" s="94">
        <f ca="1">TblProd[[#This Row],[Lumber]]</f>
        <v>75057</v>
      </c>
      <c r="BL126" s="94">
        <f ca="1">TblProd[[#This Row],[Mana]]</f>
        <v>0</v>
      </c>
      <c r="BM126" s="94">
        <f ca="1">TblProd[[#This Row],[Ore]]</f>
        <v>0</v>
      </c>
    </row>
    <row r="127" spans="1:65" x14ac:dyDescent="0.2">
      <c r="A127" s="137">
        <f t="shared" si="1"/>
        <v>76</v>
      </c>
      <c r="B127" s="152">
        <f ca="1">TblImps[[#This Row],[Time]]</f>
        <v>45820.124999999702</v>
      </c>
      <c r="C127" s="153"/>
      <c r="D127" s="154"/>
      <c r="E127" s="94">
        <f ca="1">TblConstr[[#This Row],[Land]]</f>
        <v>50</v>
      </c>
      <c r="F127" s="94">
        <f ca="1">TblPop[[#This Row],[Peasants]]</f>
        <v>138</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210092</v>
      </c>
      <c r="I127" s="94">
        <f ca="1">OFFSET(TblProd[[#This Row],[Food]],-1,0)+OFFSET(TblProd[[#This Row],[Food/hr]],-1,0)+ROUNDUP((TblConstr[[#This Row],[Farms]]*80+TblConstr[[#This Row],[Docks]]*35)*(1+OFFSET(TblProd[[#This Row],[Bonus Food/hr]],-1,0)),0)</f>
        <v>173772</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MAX(3750,_xlfn.CEILING.MATH(TblProd[[#This Row],[Land]]*2.5+OFFSET(TblTech[[#This Row],[Sum of tech]],-1,0)*150))</f>
        <v>3750</v>
      </c>
      <c r="R127" s="142"/>
      <c r="S127" s="94">
        <f ca="1">ROUNDDOWN(TblProd[[#This Row],[Raw Plat/hr]]*(1+TblProd[[#This Row],[Bonus Plat/hr]]),0)</f>
        <v>372</v>
      </c>
      <c r="T127" s="94">
        <f ca="1">ROUND(TblProd[[#This Row],[Raw Food/hr]]*(1+TblProd[[#This Row],[Bonus Food/hr]])-TblProd[[#This Row],[Food decay]]-TblProd[[#This Row],[Food eaten]],0)</f>
        <v>650</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372.6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1737.72</v>
      </c>
      <c r="AP127" s="94">
        <f ca="1">(1+race_food_consumption)*TblPop[[#This Row],[Total]]*food_per_person*(1+tech_1_10*TblTech[[#This Row],[1-10]]+tech_7_5*TblTech[[#This Row],[7-5]] + IF(TblMagic[[#This Row],[Active Demonic Pact]]&gt;0,demonic_pact_food_cons,0))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76</v>
      </c>
      <c r="BC127" s="158">
        <f>-TblProd[[#This Row],[Bank Lumber]] / 2 + -TblProd[[#This Row],[Bank Gems]] * 2 + -TblProd[[#This Row],[Bank Ore]] / 2</f>
        <v>0</v>
      </c>
      <c r="BD127" s="158"/>
      <c r="BE127" s="158"/>
      <c r="BF127" s="158"/>
      <c r="BG127" s="159">
        <f ca="1">TblProd[[#This Row],[Time]]</f>
        <v>45820.124999999702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210092</v>
      </c>
      <c r="BJ127" s="94">
        <f ca="1">TblProd[[#This Row],[Food]]</f>
        <v>173772</v>
      </c>
      <c r="BK127" s="94">
        <f ca="1">TblProd[[#This Row],[Lumber]]</f>
        <v>75306</v>
      </c>
      <c r="BL127" s="94">
        <f ca="1">TblProd[[#This Row],[Mana]]</f>
        <v>0</v>
      </c>
      <c r="BM127" s="94">
        <f ca="1">TblProd[[#This Row],[Ore]]</f>
        <v>0</v>
      </c>
    </row>
    <row r="128" spans="1:65" x14ac:dyDescent="0.2">
      <c r="A128" s="137">
        <f t="shared" si="1"/>
        <v>77</v>
      </c>
      <c r="B128" s="152">
        <f ca="1">TblImps[[#This Row],[Time]]</f>
        <v>45820.166666666366</v>
      </c>
      <c r="C128" s="153"/>
      <c r="D128" s="154"/>
      <c r="E128" s="94">
        <f ca="1">TblConstr[[#This Row],[Land]]</f>
        <v>50</v>
      </c>
      <c r="F128" s="94">
        <f ca="1">TblPop[[#This Row],[Peasants]]</f>
        <v>137</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210464</v>
      </c>
      <c r="I128" s="94">
        <f ca="1">OFFSET(TblProd[[#This Row],[Food]],-1,0)+OFFSET(TblProd[[#This Row],[Food/hr]],-1,0)+ROUNDUP((TblConstr[[#This Row],[Farms]]*80+TblConstr[[#This Row],[Docks]]*35)*(1+OFFSET(TblProd[[#This Row],[Bonus Food/hr]],-1,0)),0)</f>
        <v>174422</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MAX(3750,_xlfn.CEILING.MATH(TblProd[[#This Row],[Land]]*2.5+OFFSET(TblTech[[#This Row],[Sum of tech]],-1,0)*150))</f>
        <v>3750</v>
      </c>
      <c r="R128" s="142"/>
      <c r="S128" s="94">
        <f ca="1">ROUNDDOWN(TblProd[[#This Row],[Raw Plat/hr]]*(1+TblProd[[#This Row],[Bonus Plat/hr]]),0)</f>
        <v>369</v>
      </c>
      <c r="T128" s="94">
        <f ca="1">ROUND(TblProd[[#This Row],[Raw Food/hr]]*(1+TblProd[[#This Row],[Bonus Food/hr]])-TblProd[[#This Row],[Food decay]]-TblProd[[#This Row],[Food eaten]],0)</f>
        <v>644</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369.90000000000003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1744.22</v>
      </c>
      <c r="AP128" s="94">
        <f ca="1">(1+race_food_consumption)*TblPop[[#This Row],[Total]]*food_per_person*(1+tech_1_10*TblTech[[#This Row],[1-10]]+tech_7_5*TblTech[[#This Row],[7-5]] + IF(TblMagic[[#This Row],[Active Demonic Pact]]&gt;0,demonic_pact_food_cons,0))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77</v>
      </c>
      <c r="BC128" s="158">
        <f>-TblProd[[#This Row],[Bank Lumber]] / 2 + -TblProd[[#This Row],[Bank Gems]] * 2 + -TblProd[[#This Row],[Bank Ore]] / 2</f>
        <v>0</v>
      </c>
      <c r="BD128" s="158"/>
      <c r="BE128" s="158"/>
      <c r="BF128" s="158"/>
      <c r="BG128" s="159">
        <f ca="1">TblProd[[#This Row],[Time]]</f>
        <v>45820.166666666366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210464</v>
      </c>
      <c r="BJ128" s="94">
        <f ca="1">TblProd[[#This Row],[Food]]</f>
        <v>174422</v>
      </c>
      <c r="BK128" s="94">
        <f ca="1">TblProd[[#This Row],[Lumber]]</f>
        <v>75553</v>
      </c>
      <c r="BL128" s="94">
        <f ca="1">TblProd[[#This Row],[Mana]]</f>
        <v>0</v>
      </c>
      <c r="BM128" s="94">
        <f ca="1">TblProd[[#This Row],[Ore]]</f>
        <v>0</v>
      </c>
    </row>
    <row r="129" spans="1:65" x14ac:dyDescent="0.2">
      <c r="A129" s="137">
        <f t="shared" si="1"/>
        <v>78</v>
      </c>
      <c r="B129" s="152">
        <f ca="1">TblImps[[#This Row],[Time]]</f>
        <v>45820.20833333303</v>
      </c>
      <c r="C129" s="153"/>
      <c r="D129" s="154"/>
      <c r="E129" s="94">
        <f ca="1">TblConstr[[#This Row],[Land]]</f>
        <v>50</v>
      </c>
      <c r="F129" s="94">
        <f ca="1">TblPop[[#This Row],[Peasants]]</f>
        <v>136</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210833</v>
      </c>
      <c r="I129" s="94">
        <f ca="1">OFFSET(TblProd[[#This Row],[Food]],-1,0)+OFFSET(TblProd[[#This Row],[Food/hr]],-1,0)+ROUNDUP((TblConstr[[#This Row],[Farms]]*80+TblConstr[[#This Row],[Docks]]*35)*(1+OFFSET(TblProd[[#This Row],[Bonus Food/hr]],-1,0)),0)</f>
        <v>175066</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MAX(3750,_xlfn.CEILING.MATH(TblProd[[#This Row],[Land]]*2.5+OFFSET(TblTech[[#This Row],[Sum of tech]],-1,0)*150))</f>
        <v>3750</v>
      </c>
      <c r="R129" s="142"/>
      <c r="S129" s="94">
        <f ca="1">ROUNDDOWN(TblProd[[#This Row],[Raw Plat/hr]]*(1+TblProd[[#This Row],[Bonus Plat/hr]]),0)</f>
        <v>367</v>
      </c>
      <c r="T129" s="94">
        <f ca="1">ROUND(TblProd[[#This Row],[Raw Food/hr]]*(1+TblProd[[#This Row],[Bonus Food/hr]])-TblProd[[#This Row],[Food decay]]-TblProd[[#This Row],[Food eaten]],0)</f>
        <v>637</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367.20000000000005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1750.66</v>
      </c>
      <c r="AP129" s="94">
        <f ca="1">(1+race_food_consumption)*TblPop[[#This Row],[Total]]*food_per_person*(1+tech_1_10*TblTech[[#This Row],[1-10]]+tech_7_5*TblTech[[#This Row],[7-5]] + IF(TblMagic[[#This Row],[Active Demonic Pact]]&gt;0,demonic_pact_food_cons,0))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78</v>
      </c>
      <c r="BC129" s="158">
        <f>-TblProd[[#This Row],[Bank Lumber]] / 2 + -TblProd[[#This Row],[Bank Gems]] * 2 + -TblProd[[#This Row],[Bank Ore]] / 2</f>
        <v>0</v>
      </c>
      <c r="BD129" s="158"/>
      <c r="BE129" s="158"/>
      <c r="BF129" s="158"/>
      <c r="BG129" s="159">
        <f ca="1">TblProd[[#This Row],[Time]]</f>
        <v>45820.20833333303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210833</v>
      </c>
      <c r="BJ129" s="94">
        <f ca="1">TblProd[[#This Row],[Food]]</f>
        <v>175066</v>
      </c>
      <c r="BK129" s="94">
        <f ca="1">TblProd[[#This Row],[Lumber]]</f>
        <v>75797</v>
      </c>
      <c r="BL129" s="94">
        <f ca="1">TblProd[[#This Row],[Mana]]</f>
        <v>0</v>
      </c>
      <c r="BM129" s="94">
        <f ca="1">TblProd[[#This Row],[Ore]]</f>
        <v>0</v>
      </c>
    </row>
    <row r="130" spans="1:65" x14ac:dyDescent="0.2">
      <c r="A130" s="137">
        <f t="shared" si="1"/>
        <v>79</v>
      </c>
      <c r="B130" s="152">
        <f ca="1">TblImps[[#This Row],[Time]]</f>
        <v>45820.249999999694</v>
      </c>
      <c r="C130" s="153"/>
      <c r="D130" s="154"/>
      <c r="E130" s="94">
        <f ca="1">TblConstr[[#This Row],[Land]]</f>
        <v>50</v>
      </c>
      <c r="F130" s="94">
        <f ca="1">TblPop[[#This Row],[Peasants]]</f>
        <v>135</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211200</v>
      </c>
      <c r="I130" s="94">
        <f ca="1">OFFSET(TblProd[[#This Row],[Food]],-1,0)+OFFSET(TblProd[[#This Row],[Food/hr]],-1,0)+ROUNDUP((TblConstr[[#This Row],[Farms]]*80+TblConstr[[#This Row],[Docks]]*35)*(1+OFFSET(TblProd[[#This Row],[Bonus Food/hr]],-1,0)),0)</f>
        <v>175703</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MAX(3750,_xlfn.CEILING.MATH(TblProd[[#This Row],[Land]]*2.5+OFFSET(TblTech[[#This Row],[Sum of tech]],-1,0)*150))</f>
        <v>3750</v>
      </c>
      <c r="R130" s="142"/>
      <c r="S130" s="94">
        <f ca="1">ROUNDDOWN(TblProd[[#This Row],[Raw Plat/hr]]*(1+TblProd[[#This Row],[Bonus Plat/hr]]),0)</f>
        <v>364</v>
      </c>
      <c r="T130" s="94">
        <f ca="1">ROUND(TblProd[[#This Row],[Raw Food/hr]]*(1+TblProd[[#This Row],[Bonus Food/hr]])-TblProd[[#This Row],[Food decay]]-TblProd[[#This Row],[Food eaten]],0)</f>
        <v>631</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364.5</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1757.03</v>
      </c>
      <c r="AP130" s="94">
        <f ca="1">(1+race_food_consumption)*TblPop[[#This Row],[Total]]*food_per_person*(1+tech_1_10*TblTech[[#This Row],[1-10]]+tech_7_5*TblTech[[#This Row],[7-5]] + IF(TblMagic[[#This Row],[Active Demonic Pact]]&gt;0,demonic_pact_food_cons,0))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79</v>
      </c>
      <c r="BC130" s="158">
        <f>-TblProd[[#This Row],[Bank Lumber]] / 2 + -TblProd[[#This Row],[Bank Gems]] * 2 + -TblProd[[#This Row],[Bank Ore]] / 2</f>
        <v>0</v>
      </c>
      <c r="BD130" s="158"/>
      <c r="BE130" s="158"/>
      <c r="BF130" s="158"/>
      <c r="BG130" s="159">
        <f ca="1">TblProd[[#This Row],[Time]]</f>
        <v>45820.249999999694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211200</v>
      </c>
      <c r="BJ130" s="94">
        <f ca="1">TblProd[[#This Row],[Food]]</f>
        <v>175703</v>
      </c>
      <c r="BK130" s="94">
        <f ca="1">TblProd[[#This Row],[Lumber]]</f>
        <v>76039</v>
      </c>
      <c r="BL130" s="94">
        <f ca="1">TblProd[[#This Row],[Mana]]</f>
        <v>0</v>
      </c>
      <c r="BM130" s="94">
        <f ca="1">TblProd[[#This Row],[Ore]]</f>
        <v>0</v>
      </c>
    </row>
    <row r="131" spans="1:65" x14ac:dyDescent="0.2">
      <c r="A131" s="137">
        <f t="shared" si="1"/>
        <v>80</v>
      </c>
      <c r="B131" s="152">
        <f ca="1">TblImps[[#This Row],[Time]]</f>
        <v>45820.291666666359</v>
      </c>
      <c r="C131" s="153"/>
      <c r="D131" s="154"/>
      <c r="E131" s="94">
        <f ca="1">TblConstr[[#This Row],[Land]]</f>
        <v>50</v>
      </c>
      <c r="F131" s="94">
        <f ca="1">TblPop[[#This Row],[Peasants]]</f>
        <v>134</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211564</v>
      </c>
      <c r="I131" s="94">
        <f ca="1">OFFSET(TblProd[[#This Row],[Food]],-1,0)+OFFSET(TblProd[[#This Row],[Food/hr]],-1,0)+ROUNDUP((TblConstr[[#This Row],[Farms]]*80+TblConstr[[#This Row],[Docks]]*35)*(1+OFFSET(TblProd[[#This Row],[Bonus Food/hr]],-1,0)),0)</f>
        <v>176334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MAX(3750,_xlfn.CEILING.MATH(TblProd[[#This Row],[Land]]*2.5+OFFSET(TblTech[[#This Row],[Sum of tech]],-1,0)*150))</f>
        <v>3750</v>
      </c>
      <c r="R131" s="142"/>
      <c r="S131" s="94">
        <f ca="1">ROUNDDOWN(TblProd[[#This Row],[Raw Plat/hr]]*(1+TblProd[[#This Row],[Bonus Plat/hr]]),0)</f>
        <v>361</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361.8</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1763.3400000000001</v>
      </c>
      <c r="AP131" s="94">
        <f ca="1">(1+race_food_consumption)*TblPop[[#This Row],[Total]]*food_per_person*(1+tech_1_10*TblTech[[#This Row],[1-10]]+tech_7_5*TblTech[[#This Row],[7-5]] + IF(TblMagic[[#This Row],[Active Demonic Pact]]&gt;0,demonic_pact_food_cons,0))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80</v>
      </c>
      <c r="BC131" s="158">
        <f>-TblProd[[#This Row],[Bank Lumber]] / 2 + -TblProd[[#This Row],[Bank Gems]] * 2 + -TblProd[[#This Row],[Bank Ore]] / 2</f>
        <v>0</v>
      </c>
      <c r="BD131" s="158"/>
      <c r="BE131" s="158"/>
      <c r="BF131" s="158"/>
      <c r="BG131" s="159">
        <f ca="1">TblProd[[#This Row],[Time]]</f>
        <v>45820.291666666359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211564</v>
      </c>
      <c r="BJ131" s="94">
        <f ca="1">TblProd[[#This Row],[Food]]</f>
        <v>176334</v>
      </c>
      <c r="BK131" s="94">
        <f ca="1">TblProd[[#This Row],[Lumber]]</f>
        <v>76279</v>
      </c>
      <c r="BL131" s="94">
        <f ca="1">TblProd[[#This Row],[Mana]]</f>
        <v>0</v>
      </c>
      <c r="BM131" s="94">
        <f ca="1">TblProd[[#This Row],[Ore]]</f>
        <v>0</v>
      </c>
    </row>
    <row r="132" spans="1:65" x14ac:dyDescent="0.2">
      <c r="A132" s="137">
        <f t="shared" si="1"/>
        <v>81</v>
      </c>
      <c r="B132" s="152">
        <f ca="1">TblImps[[#This Row],[Time]]</f>
        <v>45820.333333333023</v>
      </c>
      <c r="C132" s="153"/>
      <c r="D132" s="154"/>
      <c r="E132" s="94">
        <f ca="1">TblConstr[[#This Row],[Land]]</f>
        <v>50</v>
      </c>
      <c r="F132" s="94">
        <f ca="1">TblPop[[#This Row],[Peasants]]</f>
        <v>133</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211925</v>
      </c>
      <c r="I132" s="94">
        <f ca="1">OFFSET(TblProd[[#This Row],[Food]],-1,0)+OFFSET(TblProd[[#This Row],[Food/hr]],-1,0)+ROUNDUP((TblConstr[[#This Row],[Farms]]*80+TblConstr[[#This Row],[Docks]]*35)*(1+OFFSET(TblProd[[#This Row],[Bonus Food/hr]],-1,0)),0)</f>
        <v>176958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MAX(3750,_xlfn.CEILING.MATH(TblProd[[#This Row],[Land]]*2.5+OFFSET(TblTech[[#This Row],[Sum of tech]],-1,0)*150))</f>
        <v>3750</v>
      </c>
      <c r="R132" s="142"/>
      <c r="S132" s="94">
        <f ca="1">ROUNDDOWN(TblProd[[#This Row],[Raw Plat/hr]]*(1+TblProd[[#This Row],[Bonus Plat/hr]]),0)</f>
        <v>359</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359.1</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1769.58</v>
      </c>
      <c r="AP132" s="94">
        <f ca="1">(1+race_food_consumption)*TblPop[[#This Row],[Total]]*food_per_person*(1+tech_1_10*TblTech[[#This Row],[1-10]]+tech_7_5*TblTech[[#This Row],[7-5]] + IF(TblMagic[[#This Row],[Active Demonic Pact]]&gt;0,demonic_pact_food_cons,0))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81</v>
      </c>
      <c r="BC132" s="158">
        <f>-TblProd[[#This Row],[Bank Lumber]] / 2 + -TblProd[[#This Row],[Bank Gems]] * 2 + -TblProd[[#This Row],[Bank Ore]] / 2</f>
        <v>0</v>
      </c>
      <c r="BD132" s="158"/>
      <c r="BE132" s="158"/>
      <c r="BF132" s="158"/>
      <c r="BG132" s="159">
        <f ca="1">TblProd[[#This Row],[Time]]</f>
        <v>45820.333333333023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211925</v>
      </c>
      <c r="BJ132" s="94">
        <f ca="1">TblProd[[#This Row],[Food]]</f>
        <v>176958</v>
      </c>
      <c r="BK132" s="94">
        <f ca="1">TblProd[[#This Row],[Lumber]]</f>
        <v>76516</v>
      </c>
      <c r="BL132" s="94">
        <f ca="1">TblProd[[#This Row],[Mana]]</f>
        <v>0</v>
      </c>
      <c r="BM132" s="94">
        <f ca="1">TblProd[[#This Row],[Ore]]</f>
        <v>0</v>
      </c>
    </row>
    <row r="133" spans="1:65" x14ac:dyDescent="0.2">
      <c r="A133" s="137">
        <f t="shared" si="1"/>
        <v>82</v>
      </c>
      <c r="B133" s="152">
        <f ca="1">TblImps[[#This Row],[Time]]</f>
        <v>45820.374999999687</v>
      </c>
      <c r="C133" s="153"/>
      <c r="D133" s="154"/>
      <c r="E133" s="94">
        <f ca="1">TblConstr[[#This Row],[Land]]</f>
        <v>50</v>
      </c>
      <c r="F133" s="94">
        <f ca="1">TblPop[[#This Row],[Peasants]]</f>
        <v>132</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212284</v>
      </c>
      <c r="I133" s="94">
        <f ca="1">OFFSET(TblProd[[#This Row],[Food]],-1,0)+OFFSET(TblProd[[#This Row],[Food/hr]],-1,0)+ROUNDUP((TblConstr[[#This Row],[Farms]]*80+TblConstr[[#This Row],[Docks]]*35)*(1+OFFSET(TblProd[[#This Row],[Bonus Food/hr]],-1,0)),0)</f>
        <v>177576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MAX(3750,_xlfn.CEILING.MATH(TblProd[[#This Row],[Land]]*2.5+OFFSET(TblTech[[#This Row],[Sum of tech]],-1,0)*150))</f>
        <v>3750</v>
      </c>
      <c r="R133" s="142"/>
      <c r="S133" s="94">
        <f ca="1">ROUNDDOWN(TblProd[[#This Row],[Raw Plat/hr]]*(1+TblProd[[#This Row],[Bonus Plat/hr]]),0)</f>
        <v>356</v>
      </c>
      <c r="T133" s="94">
        <f ca="1">ROUND(TblProd[[#This Row],[Raw Food/hr]]*(1+TblProd[[#This Row],[Bonus Food/hr]])-TblProd[[#This Row],[Food decay]]-TblProd[[#This Row],[Food eaten]],0)</f>
        <v>612</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356.40000000000003</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1775.76</v>
      </c>
      <c r="AP133" s="94">
        <f ca="1">(1+race_food_consumption)*TblPop[[#This Row],[Total]]*food_per_person*(1+tech_1_10*TblTech[[#This Row],[1-10]]+tech_7_5*TblTech[[#This Row],[7-5]] + IF(TblMagic[[#This Row],[Active Demonic Pact]]&gt;0,demonic_pact_food_cons,0))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82</v>
      </c>
      <c r="BC133" s="158">
        <f>-TblProd[[#This Row],[Bank Lumber]] / 2 + -TblProd[[#This Row],[Bank Gems]] * 2 + -TblProd[[#This Row],[Bank Ore]] / 2</f>
        <v>0</v>
      </c>
      <c r="BD133" s="158"/>
      <c r="BE133" s="158"/>
      <c r="BF133" s="158"/>
      <c r="BG133" s="159">
        <f ca="1">TblProd[[#This Row],[Time]]</f>
        <v>45820.374999999687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212284</v>
      </c>
      <c r="BJ133" s="94">
        <f ca="1">TblProd[[#This Row],[Food]]</f>
        <v>177576</v>
      </c>
      <c r="BK133" s="94">
        <f ca="1">TblProd[[#This Row],[Lumber]]</f>
        <v>76751</v>
      </c>
      <c r="BL133" s="94">
        <f ca="1">TblProd[[#This Row],[Mana]]</f>
        <v>0</v>
      </c>
      <c r="BM133" s="94">
        <f ca="1">TblProd[[#This Row],[Ore]]</f>
        <v>0</v>
      </c>
    </row>
    <row r="134" spans="1:65" x14ac:dyDescent="0.2">
      <c r="A134" s="137">
        <f t="shared" si="1"/>
        <v>83</v>
      </c>
      <c r="B134" s="152">
        <f ca="1">TblImps[[#This Row],[Time]]</f>
        <v>45820.416666666351</v>
      </c>
      <c r="C134" s="153"/>
      <c r="D134" s="154"/>
      <c r="E134" s="94">
        <f ca="1">TblConstr[[#This Row],[Land]]</f>
        <v>50</v>
      </c>
      <c r="F134" s="94">
        <f ca="1">TblPop[[#This Row],[Peasants]]</f>
        <v>131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212640</v>
      </c>
      <c r="I134" s="94">
        <f ca="1">OFFSET(TblProd[[#This Row],[Food]],-1,0)+OFFSET(TblProd[[#This Row],[Food/hr]],-1,0)+ROUNDUP((TblConstr[[#This Row],[Farms]]*80+TblConstr[[#This Row],[Docks]]*35)*(1+OFFSET(TblProd[[#This Row],[Bonus Food/hr]],-1,0)),0)</f>
        <v>178188</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MAX(3750,_xlfn.CEILING.MATH(TblProd[[#This Row],[Land]]*2.5+OFFSET(TblTech[[#This Row],[Sum of tech]],-1,0)*150))</f>
        <v>3750</v>
      </c>
      <c r="R134" s="142"/>
      <c r="S134" s="94">
        <f ca="1">ROUNDDOWN(TblProd[[#This Row],[Raw Plat/hr]]*(1+TblProd[[#This Row],[Bonus Plat/hr]]),0)</f>
        <v>353</v>
      </c>
      <c r="T134" s="94">
        <f ca="1">ROUND(TblProd[[#This Row],[Raw Food/hr]]*(1+TblProd[[#This Row],[Bonus Food/hr]])-TblProd[[#This Row],[Food decay]]-TblProd[[#This Row],[Food eaten]],0)</f>
        <v>606</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353.70000000000005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1781.88</v>
      </c>
      <c r="AP134" s="94">
        <f ca="1">(1+race_food_consumption)*TblPop[[#This Row],[Total]]*food_per_person*(1+tech_1_10*TblTech[[#This Row],[1-10]]+tech_7_5*TblTech[[#This Row],[7-5]] + IF(TblMagic[[#This Row],[Active Demonic Pact]]&gt;0,demonic_pact_food_cons,0))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83</v>
      </c>
      <c r="BC134" s="158">
        <f>-TblProd[[#This Row],[Bank Lumber]] / 2 + -TblProd[[#This Row],[Bank Gems]] * 2 + -TblProd[[#This Row],[Bank Ore]] / 2</f>
        <v>0</v>
      </c>
      <c r="BD134" s="158"/>
      <c r="BE134" s="158"/>
      <c r="BF134" s="158"/>
      <c r="BG134" s="159">
        <f ca="1">TblProd[[#This Row],[Time]]</f>
        <v>45820.416666666351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212640</v>
      </c>
      <c r="BJ134" s="94">
        <f ca="1">TblProd[[#This Row],[Food]]</f>
        <v>178188</v>
      </c>
      <c r="BK134" s="94">
        <f ca="1">TblProd[[#This Row],[Lumber]]</f>
        <v>76983</v>
      </c>
      <c r="BL134" s="94">
        <f ca="1">TblProd[[#This Row],[Mana]]</f>
        <v>0</v>
      </c>
      <c r="BM134" s="94">
        <f ca="1">TblProd[[#This Row],[Ore]]</f>
        <v>0</v>
      </c>
    </row>
    <row r="135" spans="1:65" x14ac:dyDescent="0.2">
      <c r="A135" s="137">
        <f t="shared" si="1"/>
        <v>84</v>
      </c>
      <c r="B135" s="152">
        <f ca="1">TblImps[[#This Row],[Time]]</f>
        <v>45820.458333333016</v>
      </c>
      <c r="C135" s="153"/>
      <c r="D135" s="154"/>
      <c r="E135" s="94">
        <f ca="1">TblConstr[[#This Row],[Land]]</f>
        <v>50</v>
      </c>
      <c r="F135" s="94">
        <f ca="1">TblPop[[#This Row],[Peasants]]</f>
        <v>130</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212993</v>
      </c>
      <c r="I135" s="94">
        <f ca="1">OFFSET(TblProd[[#This Row],[Food]],-1,0)+OFFSET(TblProd[[#This Row],[Food/hr]],-1,0)+ROUNDUP((TblConstr[[#This Row],[Farms]]*80+TblConstr[[#This Row],[Docks]]*35)*(1+OFFSET(TblProd[[#This Row],[Bonus Food/hr]],-1,0)),0)</f>
        <v>178794</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MAX(3750,_xlfn.CEILING.MATH(TblProd[[#This Row],[Land]]*2.5+OFFSET(TblTech[[#This Row],[Sum of tech]],-1,0)*150))</f>
        <v>3750</v>
      </c>
      <c r="R135" s="142"/>
      <c r="S135" s="94">
        <f ca="1">ROUNDDOWN(TblProd[[#This Row],[Raw Plat/hr]]*(1+TblProd[[#This Row],[Bonus Plat/hr]]),0)</f>
        <v>351</v>
      </c>
      <c r="T135" s="94">
        <f ca="1">ROUND(TblProd[[#This Row],[Raw Food/hr]]*(1+TblProd[[#This Row],[Bonus Food/hr]])-TblProd[[#This Row],[Food decay]]-TblProd[[#This Row],[Food eaten]],0)</f>
        <v>600</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351</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1787.94</v>
      </c>
      <c r="AP135" s="94">
        <f ca="1">(1+race_food_consumption)*TblPop[[#This Row],[Total]]*food_per_person*(1+tech_1_10*TblTech[[#This Row],[1-10]]+tech_7_5*TblTech[[#This Row],[7-5]] + IF(TblMagic[[#This Row],[Active Demonic Pact]]&gt;0,demonic_pact_food_cons,0))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84</v>
      </c>
      <c r="BC135" s="158">
        <f>-TblProd[[#This Row],[Bank Lumber]] / 2 + -TblProd[[#This Row],[Bank Gems]] * 2 + -TblProd[[#This Row],[Bank Ore]] / 2</f>
        <v>0</v>
      </c>
      <c r="BD135" s="158"/>
      <c r="BE135" s="158"/>
      <c r="BF135" s="158"/>
      <c r="BG135" s="159">
        <f ca="1">TblProd[[#This Row],[Time]]</f>
        <v>45820.458333333016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212993</v>
      </c>
      <c r="BJ135" s="94">
        <f ca="1">TblProd[[#This Row],[Food]]</f>
        <v>178794</v>
      </c>
      <c r="BK135" s="94">
        <f ca="1">TblProd[[#This Row],[Lumber]]</f>
        <v>77213</v>
      </c>
      <c r="BL135" s="94">
        <f ca="1">TblProd[[#This Row],[Mana]]</f>
        <v>0</v>
      </c>
      <c r="BM135" s="94">
        <f ca="1">TblProd[[#This Row],[Ore]]</f>
        <v>0</v>
      </c>
    </row>
    <row r="136" spans="1:65" x14ac:dyDescent="0.2">
      <c r="A136" s="137">
        <f t="shared" si="1"/>
        <v>85</v>
      </c>
      <c r="B136" s="152">
        <f ca="1">TblImps[[#This Row],[Time]]</f>
        <v>45820.49999999968</v>
      </c>
      <c r="C136" s="153"/>
      <c r="D136" s="154"/>
      <c r="E136" s="94">
        <f ca="1">TblConstr[[#This Row],[Land]]</f>
        <v>50</v>
      </c>
      <c r="F136" s="94">
        <f ca="1">TblPop[[#This Row],[Peasants]]</f>
        <v>129</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213344</v>
      </c>
      <c r="I136" s="94">
        <f ca="1">OFFSET(TblProd[[#This Row],[Food]],-1,0)+OFFSET(TblProd[[#This Row],[Food/hr]],-1,0)+ROUNDUP((TblConstr[[#This Row],[Farms]]*80+TblConstr[[#This Row],[Docks]]*35)*(1+OFFSET(TblProd[[#This Row],[Bonus Food/hr]],-1,0)),0)</f>
        <v>179394</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MAX(3750,_xlfn.CEILING.MATH(TblProd[[#This Row],[Land]]*2.5+OFFSET(TblTech[[#This Row],[Sum of tech]],-1,0)*150))</f>
        <v>3750</v>
      </c>
      <c r="R136" s="142"/>
      <c r="S136" s="94">
        <f ca="1">ROUNDDOWN(TblProd[[#This Row],[Raw Plat/hr]]*(1+TblProd[[#This Row],[Bonus Plat/hr]]),0)</f>
        <v>0</v>
      </c>
      <c r="T136" s="94">
        <f ca="1">ROUND(TblProd[[#This Row],[Raw Food/hr]]*(1+TblProd[[#This Row],[Bonus Food/hr]])-TblProd[[#This Row],[Food decay]]-TblProd[[#This Row],[Food eaten]],0)</f>
        <v>594</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1793.94</v>
      </c>
      <c r="AP136" s="94">
        <f ca="1">(1+race_food_consumption)*TblPop[[#This Row],[Total]]*food_per_person*(1+tech_1_10*TblTech[[#This Row],[1-10]]+tech_7_5*TblTech[[#This Row],[7-5]] + IF(TblMagic[[#This Row],[Active Demonic Pact]]&gt;0,demonic_pact_food_cons,0))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85</v>
      </c>
      <c r="BC136" s="158">
        <f>-TblProd[[#This Row],[Bank Lumber]] / 2 + -TblProd[[#This Row],[Bank Gems]] * 2 + -TblProd[[#This Row],[Bank Ore]] / 2</f>
        <v>0</v>
      </c>
      <c r="BD136" s="158"/>
      <c r="BE136" s="158"/>
      <c r="BF136" s="158"/>
      <c r="BG136" s="159">
        <f ca="1">TblProd[[#This Row],[Time]]</f>
        <v>45820.49999999968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213344</v>
      </c>
      <c r="BJ136" s="94">
        <f ca="1">TblProd[[#This Row],[Food]]</f>
        <v>179394</v>
      </c>
      <c r="BK136" s="94">
        <f ca="1">TblProd[[#This Row],[Lumber]]</f>
        <v>77441</v>
      </c>
      <c r="BL136" s="94">
        <f ca="1">TblProd[[#This Row],[Mana]]</f>
        <v>0</v>
      </c>
      <c r="BM136" s="94">
        <f ca="1">TblProd[[#This Row],[Ore]]</f>
        <v>0</v>
      </c>
    </row>
    <row r="1269" spans="3:12" x14ac:dyDescent="0.2">
      <c r="C1269" s="531" t="s">
        <v>314</v>
      </c>
      <c r="D1269" s="487"/>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3"/>
      <c r="B1" s="173"/>
      <c r="C1" s="173"/>
      <c r="D1" s="5"/>
      <c r="E1" s="5"/>
      <c r="F1" s="28"/>
      <c r="G1" s="28" t="s">
        <v>54</v>
      </c>
      <c r="H1" s="28"/>
      <c r="I1" s="28"/>
      <c r="J1" s="28"/>
      <c r="K1" s="28"/>
      <c r="L1" s="28"/>
      <c r="M1" s="28"/>
      <c r="N1" s="28"/>
      <c r="O1" s="534" t="s">
        <v>56</v>
      </c>
      <c r="P1" s="534"/>
      <c r="Q1" s="487"/>
      <c r="R1" s="5"/>
      <c r="S1" s="5"/>
      <c r="T1" s="5"/>
      <c r="U1" s="5"/>
      <c r="V1" s="5"/>
      <c r="W1" s="5"/>
      <c r="X1" s="5"/>
      <c r="Y1" s="5"/>
      <c r="Z1" s="5"/>
      <c r="AA1" s="5"/>
      <c r="AB1" s="5"/>
      <c r="AC1" s="5"/>
      <c r="AD1" s="5"/>
      <c r="AE1" s="5"/>
      <c r="AF1" s="5"/>
      <c r="AG1" s="5"/>
      <c r="AH1" s="5"/>
      <c r="AI1" s="174" t="s">
        <v>513</v>
      </c>
      <c r="AJ1" s="174" t="s">
        <v>516</v>
      </c>
      <c r="AK1" s="534" t="s">
        <v>77</v>
      </c>
      <c r="AL1" s="534"/>
      <c r="AM1" s="532" t="s">
        <v>514</v>
      </c>
      <c r="AN1" s="532"/>
      <c r="AO1" s="532" t="s">
        <v>515</v>
      </c>
      <c r="AP1" s="532"/>
      <c r="AQ1" s="532" t="s">
        <v>512</v>
      </c>
      <c r="AR1" s="532"/>
      <c r="AS1" s="5"/>
      <c r="AT1" s="5"/>
      <c r="AU1" s="5"/>
      <c r="AV1" s="5" t="s">
        <v>511</v>
      </c>
      <c r="AW1" s="5"/>
      <c r="AX1" s="5"/>
      <c r="AY1" s="532" t="s">
        <v>53</v>
      </c>
      <c r="AZ1" s="532"/>
      <c r="BA1" s="532"/>
      <c r="BB1" s="28"/>
      <c r="BC1" s="28"/>
      <c r="BD1" s="28"/>
      <c r="BE1" s="28"/>
      <c r="BF1" s="28"/>
      <c r="BG1" s="28"/>
      <c r="BH1" s="28"/>
      <c r="BI1" s="28"/>
      <c r="BJ1" s="28"/>
      <c r="BK1" s="28"/>
      <c r="BL1" s="28"/>
      <c r="BM1" s="28"/>
      <c r="BN1" s="28"/>
      <c r="BO1" s="28"/>
      <c r="BP1" s="28"/>
      <c r="BQ1" s="28"/>
      <c r="BR1" s="5"/>
      <c r="BS1" s="5"/>
      <c r="BT1" s="5"/>
      <c r="BU1" s="5"/>
      <c r="BV1" s="5"/>
      <c r="BW1" s="534" t="s">
        <v>84</v>
      </c>
      <c r="BX1" s="534"/>
      <c r="BY1" s="5"/>
      <c r="BZ1" s="5"/>
      <c r="CA1" s="5"/>
      <c r="CB1" s="5"/>
      <c r="CC1" s="5"/>
      <c r="CD1" s="5"/>
      <c r="CE1" s="5"/>
      <c r="CF1" s="5"/>
      <c r="CG1" s="5"/>
      <c r="CH1" s="5"/>
      <c r="CI1" s="5"/>
      <c r="CJ1" s="5"/>
      <c r="CK1" s="5"/>
      <c r="CL1" s="5"/>
      <c r="CM1" s="5"/>
      <c r="CN1" s="5"/>
      <c r="CO1" s="5"/>
      <c r="CP1" s="5"/>
      <c r="CQ1" s="532" t="s">
        <v>18</v>
      </c>
      <c r="CR1" s="532"/>
      <c r="CS1" s="28"/>
      <c r="CT1" s="28"/>
      <c r="CU1" s="28"/>
      <c r="CV1" s="28"/>
      <c r="CW1" s="28"/>
      <c r="CX1" s="5"/>
      <c r="CY1" s="5"/>
      <c r="CZ1" s="534" t="s">
        <v>293</v>
      </c>
      <c r="DA1" s="534"/>
      <c r="DB1" s="534"/>
      <c r="DC1" s="534"/>
      <c r="DD1" s="534"/>
      <c r="DE1" s="5"/>
      <c r="DF1" s="5"/>
      <c r="DG1" s="534" t="s">
        <v>257</v>
      </c>
      <c r="DH1" s="534"/>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45815</v>
      </c>
      <c r="AI4" s="180">
        <f ca="1">MIN(25%,(TblConstr[[#This Row],[Tot Fac]]+TblConstr[[#This Row],[Dest Fac]])/(TblConstr[[#This Row],[Land]]-TblExplore[[#This Row],[Land Bonus]]*20))</f>
        <v>0</v>
      </c>
      <c r="AJ4" s="180">
        <f ca="1">MIN(25%,(TblConstr[[#This Row],[Tot Fac]]+TblConstr[[#This Row],[Dest Fac]])/TblConstr[[#This Row],[Land]])</f>
        <v>0</v>
      </c>
      <c r="AK4" s="94">
        <f ca="1">TblProd[[#This Row],[Platinum]]</f>
        <v>120000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Row],[Far]]-TblConstr[[#This Row],[Dest Farm]]</f>
        <v>30</v>
      </c>
      <c r="BB4" s="389">
        <f>start_smithies-TblConstr[[#This Row],[Dest Smi]]</f>
        <v>0</v>
      </c>
      <c r="BC4" s="389">
        <f>start_masons-TblConstr[[#This Row],[Dest Mas]]</f>
        <v>0</v>
      </c>
      <c r="BD4" s="390">
        <f>start_ly+TblConstr[[#This Row],[Ly]]-TblConstr[[#This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45815</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x14ac:dyDescent="0.2">
      <c r="A5" s="175">
        <f>TblRezone[[#This Row],[Hour]]</f>
        <v>2</v>
      </c>
      <c r="B5" s="176">
        <f ca="1">SUM(TblConstr[[#This Row],[Plain]:[Water]])</f>
        <v>0</v>
      </c>
      <c r="C5" s="177">
        <f ca="1">SUM(TblConstr[[#This Row],[Tot Hom]:[Tot Doc]])</f>
        <v>50</v>
      </c>
      <c r="D5" s="177">
        <f>SUM(O$5:AG5)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O5" s="179"/>
      <c r="P5" s="179"/>
      <c r="Q5" s="179"/>
      <c r="R5" s="179"/>
      <c r="S5" s="179"/>
      <c r="T5" s="179"/>
      <c r="U5" s="179"/>
      <c r="V5" s="179"/>
      <c r="W5" s="179"/>
      <c r="X5" s="179"/>
      <c r="Y5" s="179"/>
      <c r="Z5" s="179"/>
      <c r="AA5" s="179"/>
      <c r="AB5" s="179"/>
      <c r="AC5" s="179"/>
      <c r="AD5" s="179"/>
      <c r="AE5" s="179"/>
      <c r="AF5" s="179"/>
      <c r="AG5" s="179"/>
      <c r="AH5" s="53">
        <f ca="1">TblImps[[#This Row],[Time]]</f>
        <v>45815.041666666664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121266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45815.041666666664</v>
      </c>
      <c r="BV5" s="142"/>
      <c r="BW5" s="179"/>
      <c r="BX5" s="179"/>
      <c r="BY5" s="179"/>
      <c r="BZ5" s="179"/>
      <c r="CA5" s="179"/>
      <c r="CB5" s="179"/>
      <c r="CC5" s="179"/>
      <c r="CD5" s="179"/>
      <c r="CE5" s="179"/>
      <c r="CF5" s="179"/>
      <c r="CG5" s="179"/>
      <c r="CH5" s="179"/>
      <c r="CI5" s="179"/>
      <c r="CJ5" s="179"/>
      <c r="CK5" s="179"/>
      <c r="CL5" s="179"/>
      <c r="CM5" s="179"/>
      <c r="CN5" s="179"/>
      <c r="CO5" s="179"/>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x14ac:dyDescent="0.2">
      <c r="A6" s="175">
        <f>TblRezone[[#This Row],[Hour]]</f>
        <v>3</v>
      </c>
      <c r="B6" s="176">
        <f ca="1">SUM(TblConstr[[#This Row],[Plain]:[Water]])</f>
        <v>0</v>
      </c>
      <c r="C6" s="177">
        <f ca="1">SUM(TblConstr[[#This Row],[Tot Hom]:[Tot Doc]])</f>
        <v>50</v>
      </c>
      <c r="D6" s="177">
        <f>SUM(O$5:AG6)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O6" s="179"/>
      <c r="P6" s="179"/>
      <c r="Q6" s="179"/>
      <c r="R6" s="179"/>
      <c r="S6" s="179"/>
      <c r="T6" s="179"/>
      <c r="U6" s="179"/>
      <c r="V6" s="179"/>
      <c r="W6" s="179"/>
      <c r="X6" s="179"/>
      <c r="Y6" s="179"/>
      <c r="Z6" s="179"/>
      <c r="AA6" s="179"/>
      <c r="AB6" s="179"/>
      <c r="AC6" s="179"/>
      <c r="AD6" s="179"/>
      <c r="AE6" s="179"/>
      <c r="AF6" s="179"/>
      <c r="AG6" s="179"/>
      <c r="AH6" s="53">
        <f ca="1">TblImps[[#This Row],[Time]]</f>
        <v>45815.083333333328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122518</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45815.083333333328</v>
      </c>
      <c r="BV6" s="142"/>
      <c r="BW6" s="179"/>
      <c r="BX6" s="179"/>
      <c r="BY6" s="179"/>
      <c r="BZ6" s="179"/>
      <c r="CA6" s="179"/>
      <c r="CB6" s="179"/>
      <c r="CC6" s="179"/>
      <c r="CD6" s="179"/>
      <c r="CE6" s="179"/>
      <c r="CF6" s="179"/>
      <c r="CG6" s="179"/>
      <c r="CH6" s="179"/>
      <c r="CI6" s="179"/>
      <c r="CJ6" s="179"/>
      <c r="CK6" s="179"/>
      <c r="CL6" s="179"/>
      <c r="CM6" s="179"/>
      <c r="CN6" s="179"/>
      <c r="CO6" s="179"/>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x14ac:dyDescent="0.2">
      <c r="A7" s="175">
        <f>TblRezone[[#This Row],[Hour]]</f>
        <v>4</v>
      </c>
      <c r="B7" s="176">
        <f ca="1">SUM(TblConstr[[#This Row],[Plain]:[Water]])</f>
        <v>0</v>
      </c>
      <c r="C7" s="177">
        <f ca="1">SUM(TblConstr[[#This Row],[Tot Hom]:[Tot Doc]])</f>
        <v>50</v>
      </c>
      <c r="D7" s="177">
        <f>SUM(O$5:AG7)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O7" s="179"/>
      <c r="P7" s="179"/>
      <c r="Q7" s="179"/>
      <c r="R7" s="179"/>
      <c r="S7" s="179"/>
      <c r="T7" s="179"/>
      <c r="U7" s="179"/>
      <c r="V7" s="179"/>
      <c r="W7" s="179"/>
      <c r="X7" s="179"/>
      <c r="Y7" s="179"/>
      <c r="Z7" s="179"/>
      <c r="AA7" s="179"/>
      <c r="AB7" s="179"/>
      <c r="AC7" s="179"/>
      <c r="AD7" s="179"/>
      <c r="AE7" s="179"/>
      <c r="AF7" s="179"/>
      <c r="AG7" s="179"/>
      <c r="AH7" s="53">
        <f ca="1">TblImps[[#This Row],[Time]]</f>
        <v>45815.124999999993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123757</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45815.124999999993</v>
      </c>
      <c r="BV7" s="142"/>
      <c r="BW7" s="179"/>
      <c r="BX7" s="179"/>
      <c r="BY7" s="179"/>
      <c r="BZ7" s="179"/>
      <c r="CA7" s="179"/>
      <c r="CB7" s="179"/>
      <c r="CC7" s="179"/>
      <c r="CD7" s="179"/>
      <c r="CE7" s="179"/>
      <c r="CF7" s="179"/>
      <c r="CG7" s="179"/>
      <c r="CH7" s="179"/>
      <c r="CI7" s="179"/>
      <c r="CJ7" s="179"/>
      <c r="CK7" s="179"/>
      <c r="CL7" s="179"/>
      <c r="CM7" s="179"/>
      <c r="CN7" s="179"/>
      <c r="CO7" s="179"/>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x14ac:dyDescent="0.2">
      <c r="A8" s="356">
        <f>TblRezone[[#This Row],[Hour]]</f>
        <v>5</v>
      </c>
      <c r="B8" s="176">
        <f ca="1">SUM(TblConstr[[#This Row],[Plain]:[Water]])</f>
        <v>0</v>
      </c>
      <c r="C8" s="177">
        <f ca="1">SUM(TblConstr[[#This Row],[Tot Hom]:[Tot Doc]])</f>
        <v>50</v>
      </c>
      <c r="D8" s="177">
        <f>SUM(O$5:AG8)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O8" s="179"/>
      <c r="P8" s="179"/>
      <c r="Q8" s="179"/>
      <c r="R8" s="179"/>
      <c r="S8" s="179"/>
      <c r="T8" s="179"/>
      <c r="U8" s="179"/>
      <c r="V8" s="179"/>
      <c r="W8" s="179"/>
      <c r="X8" s="179"/>
      <c r="Y8" s="179"/>
      <c r="Z8" s="179"/>
      <c r="AA8" s="179"/>
      <c r="AB8" s="179"/>
      <c r="AC8" s="179"/>
      <c r="AD8" s="179"/>
      <c r="AE8" s="179"/>
      <c r="AF8" s="179"/>
      <c r="AG8" s="179"/>
      <c r="AH8" s="53">
        <f ca="1">TblImps[[#This Row],[Time]]</f>
        <v>45815.166666666657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124982</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45815.166666666657</v>
      </c>
      <c r="BV8" s="142"/>
      <c r="BW8" s="179"/>
      <c r="BX8" s="179"/>
      <c r="BY8" s="179"/>
      <c r="BZ8" s="179"/>
      <c r="CA8" s="179"/>
      <c r="CB8" s="179"/>
      <c r="CC8" s="179"/>
      <c r="CD8" s="179"/>
      <c r="CE8" s="179"/>
      <c r="CF8" s="179"/>
      <c r="CG8" s="179"/>
      <c r="CH8" s="179"/>
      <c r="CI8" s="179"/>
      <c r="CJ8" s="179"/>
      <c r="CK8" s="179"/>
      <c r="CL8" s="179"/>
      <c r="CM8" s="179"/>
      <c r="CN8" s="179"/>
      <c r="CO8" s="179"/>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x14ac:dyDescent="0.2">
      <c r="A9" s="175">
        <f>TblRezone[[#This Row],[Hour]]</f>
        <v>6</v>
      </c>
      <c r="B9" s="176">
        <f ca="1">SUM(TblConstr[[#This Row],[Plain]:[Water]])</f>
        <v>0</v>
      </c>
      <c r="C9" s="177">
        <f ca="1">SUM(TblConstr[[#This Row],[Tot Hom]:[Tot Doc]])</f>
        <v>50</v>
      </c>
      <c r="D9" s="177">
        <f>SUM(O$5:AG9)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O9" s="179"/>
      <c r="P9" s="179"/>
      <c r="Q9" s="179"/>
      <c r="R9" s="179"/>
      <c r="S9" s="179"/>
      <c r="T9" s="179"/>
      <c r="U9" s="179"/>
      <c r="V9" s="179"/>
      <c r="W9" s="179"/>
      <c r="X9" s="179"/>
      <c r="Y9" s="179"/>
      <c r="Z9" s="179"/>
      <c r="AA9" s="179"/>
      <c r="AB9" s="179"/>
      <c r="AC9" s="179"/>
      <c r="AD9" s="179"/>
      <c r="AE9" s="179"/>
      <c r="AF9" s="179"/>
      <c r="AG9" s="179"/>
      <c r="AH9" s="53">
        <f ca="1">TblImps[[#This Row],[Time]]</f>
        <v>45815.208333333321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126194</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45815.208333333321</v>
      </c>
      <c r="BV9" s="142"/>
      <c r="BW9" s="179"/>
      <c r="BX9" s="179"/>
      <c r="BY9" s="179"/>
      <c r="BZ9" s="179"/>
      <c r="CA9" s="179"/>
      <c r="CB9" s="179"/>
      <c r="CC9" s="179"/>
      <c r="CD9" s="179"/>
      <c r="CE9" s="179"/>
      <c r="CF9" s="179"/>
      <c r="CG9" s="179"/>
      <c r="CH9" s="179"/>
      <c r="CI9" s="179"/>
      <c r="CJ9" s="179"/>
      <c r="CK9" s="179"/>
      <c r="CL9" s="179"/>
      <c r="CM9" s="179"/>
      <c r="CN9" s="179"/>
      <c r="CO9" s="179"/>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x14ac:dyDescent="0.2">
      <c r="A10" s="175">
        <f>TblRezone[[#This Row],[Hour]]</f>
        <v>7</v>
      </c>
      <c r="B10" s="176">
        <f ca="1">SUM(TblConstr[[#This Row],[Plain]:[Water]])</f>
        <v>0</v>
      </c>
      <c r="C10" s="177">
        <f ca="1">SUM(TblConstr[[#This Row],[Tot Hom]:[Tot Doc]])</f>
        <v>50</v>
      </c>
      <c r="D10" s="177">
        <f>SUM(O$5:AG10)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O10" s="179"/>
      <c r="P10" s="179"/>
      <c r="Q10" s="179"/>
      <c r="R10" s="179"/>
      <c r="S10" s="179"/>
      <c r="T10" s="179"/>
      <c r="U10" s="179"/>
      <c r="V10" s="179"/>
      <c r="W10" s="179"/>
      <c r="X10" s="179"/>
      <c r="Y10" s="179"/>
      <c r="Z10" s="179"/>
      <c r="AA10" s="179"/>
      <c r="AB10" s="179"/>
      <c r="AC10" s="179"/>
      <c r="AD10" s="179"/>
      <c r="AE10" s="179"/>
      <c r="AF10" s="179"/>
      <c r="AG10" s="179"/>
      <c r="AH10" s="53">
        <f ca="1">TblImps[[#This Row],[Time]]</f>
        <v>45815.249999999985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127395</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45815.249999999985</v>
      </c>
      <c r="BV10" s="142"/>
      <c r="BW10" s="179"/>
      <c r="BX10" s="179"/>
      <c r="BY10" s="179"/>
      <c r="BZ10" s="179"/>
      <c r="CA10" s="179"/>
      <c r="CB10" s="179"/>
      <c r="CC10" s="179"/>
      <c r="CD10" s="179"/>
      <c r="CE10" s="179"/>
      <c r="CF10" s="179"/>
      <c r="CG10" s="179"/>
      <c r="CH10" s="179"/>
      <c r="CI10" s="179"/>
      <c r="CJ10" s="179"/>
      <c r="CK10" s="179"/>
      <c r="CL10" s="179"/>
      <c r="CM10" s="179"/>
      <c r="CN10" s="179"/>
      <c r="CO10" s="179"/>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x14ac:dyDescent="0.2">
      <c r="A11" s="175">
        <f>TblRezone[[#This Row],[Hour]]</f>
        <v>8</v>
      </c>
      <c r="B11" s="176">
        <f ca="1">SUM(TblConstr[[#This Row],[Plain]:[Water]])</f>
        <v>0</v>
      </c>
      <c r="C11" s="177">
        <f ca="1">SUM(TblConstr[[#This Row],[Tot Hom]:[Tot Doc]])</f>
        <v>50</v>
      </c>
      <c r="D11" s="177">
        <f>SUM(O$5:AG11)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O11" s="179"/>
      <c r="P11" s="179"/>
      <c r="Q11" s="179"/>
      <c r="R11" s="179"/>
      <c r="S11" s="179"/>
      <c r="T11" s="179"/>
      <c r="U11" s="179"/>
      <c r="V11" s="179"/>
      <c r="W11" s="179"/>
      <c r="X11" s="179"/>
      <c r="Y11" s="179"/>
      <c r="Z11" s="179"/>
      <c r="AA11" s="179"/>
      <c r="AB11" s="179"/>
      <c r="AC11" s="179"/>
      <c r="AD11" s="179"/>
      <c r="AE11" s="179"/>
      <c r="AF11" s="179"/>
      <c r="AG11" s="179"/>
      <c r="AH11" s="53">
        <f ca="1">TblImps[[#This Row],[Time]]</f>
        <v>45815.29166666665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128585</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45815.29166666665</v>
      </c>
      <c r="BV11" s="142"/>
      <c r="BW11" s="179"/>
      <c r="BX11" s="179"/>
      <c r="BY11" s="179"/>
      <c r="BZ11" s="179"/>
      <c r="CA11" s="179"/>
      <c r="CB11" s="179"/>
      <c r="CC11" s="179"/>
      <c r="CD11" s="179"/>
      <c r="CE11" s="179"/>
      <c r="CF11" s="179"/>
      <c r="CG11" s="179"/>
      <c r="CH11" s="179"/>
      <c r="CI11" s="179"/>
      <c r="CJ11" s="179"/>
      <c r="CK11" s="179"/>
      <c r="CL11" s="179"/>
      <c r="CM11" s="179"/>
      <c r="CN11" s="179"/>
      <c r="CO11" s="179"/>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x14ac:dyDescent="0.2">
      <c r="A12" s="175">
        <f>TblRezone[[#This Row],[Hour]]</f>
        <v>9</v>
      </c>
      <c r="B12" s="176">
        <f ca="1">SUM(TblConstr[[#This Row],[Plain]:[Water]])</f>
        <v>0</v>
      </c>
      <c r="C12" s="177">
        <f ca="1">SUM(TblConstr[[#This Row],[Tot Hom]:[Tot Doc]])</f>
        <v>50</v>
      </c>
      <c r="D12" s="177">
        <f>SUM(O$5:AG12)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O12" s="179"/>
      <c r="P12" s="179"/>
      <c r="Q12" s="179"/>
      <c r="R12" s="158"/>
      <c r="S12" s="179"/>
      <c r="T12" s="179"/>
      <c r="U12" s="179"/>
      <c r="V12" s="179"/>
      <c r="W12" s="179"/>
      <c r="X12" s="179"/>
      <c r="Y12" s="179"/>
      <c r="Z12" s="179"/>
      <c r="AA12" s="179"/>
      <c r="AB12" s="179"/>
      <c r="AC12" s="179"/>
      <c r="AD12" s="179"/>
      <c r="AE12" s="179"/>
      <c r="AF12" s="179"/>
      <c r="AG12" s="179"/>
      <c r="AH12" s="53">
        <f ca="1">TblImps[[#This Row],[Time]]</f>
        <v>45815.333333333314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129764</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45815.333333333314</v>
      </c>
      <c r="BV12" s="142"/>
      <c r="BW12" s="179"/>
      <c r="BX12" s="179"/>
      <c r="BY12" s="179"/>
      <c r="BZ12" s="179"/>
      <c r="CA12" s="179"/>
      <c r="CB12" s="179"/>
      <c r="CC12" s="179"/>
      <c r="CD12" s="179"/>
      <c r="CE12" s="179"/>
      <c r="CF12" s="179"/>
      <c r="CG12" s="179"/>
      <c r="CH12" s="179"/>
      <c r="CI12" s="179"/>
      <c r="CJ12" s="179"/>
      <c r="CK12" s="179"/>
      <c r="CL12" s="179"/>
      <c r="CM12" s="179"/>
      <c r="CN12" s="179"/>
      <c r="CO12" s="179"/>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x14ac:dyDescent="0.2">
      <c r="A13" s="175">
        <f>TblRezone[[#This Row],[Hour]]</f>
        <v>10</v>
      </c>
      <c r="B13" s="176">
        <f ca="1">SUM(TblConstr[[#This Row],[Plain]:[Water]])</f>
        <v>0</v>
      </c>
      <c r="C13" s="177">
        <f ca="1">SUM(TblConstr[[#This Row],[Tot Hom]:[Tot Doc]])</f>
        <v>50</v>
      </c>
      <c r="D13" s="177">
        <f>SUM(O$5:AG13)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O13" s="179"/>
      <c r="P13" s="179"/>
      <c r="Q13" s="179"/>
      <c r="R13" s="158"/>
      <c r="S13" s="179"/>
      <c r="T13" s="179"/>
      <c r="U13" s="179"/>
      <c r="V13" s="179"/>
      <c r="W13" s="179"/>
      <c r="X13" s="179"/>
      <c r="Y13" s="179"/>
      <c r="Z13" s="179"/>
      <c r="AA13" s="179"/>
      <c r="AB13" s="179"/>
      <c r="AC13" s="179"/>
      <c r="AD13" s="179"/>
      <c r="AE13" s="179"/>
      <c r="AF13" s="179"/>
      <c r="AG13" s="179"/>
      <c r="AH13" s="53">
        <f ca="1">TblImps[[#This Row],[Time]]</f>
        <v>45815.374999999978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130933</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45815.374999999978</v>
      </c>
      <c r="BV13" s="142"/>
      <c r="BW13" s="179"/>
      <c r="BX13" s="179"/>
      <c r="BY13" s="179"/>
      <c r="BZ13" s="179"/>
      <c r="CA13" s="179"/>
      <c r="CB13" s="179"/>
      <c r="CC13" s="179"/>
      <c r="CD13" s="179"/>
      <c r="CE13" s="179"/>
      <c r="CF13" s="179"/>
      <c r="CG13" s="179"/>
      <c r="CH13" s="179"/>
      <c r="CI13" s="179"/>
      <c r="CJ13" s="179"/>
      <c r="CK13" s="179"/>
      <c r="CL13" s="179"/>
      <c r="CM13" s="179"/>
      <c r="CN13" s="179"/>
      <c r="CO13" s="179"/>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x14ac:dyDescent="0.2">
      <c r="A14" s="175">
        <f>TblRezone[[#This Row],[Hour]]</f>
        <v>11</v>
      </c>
      <c r="B14" s="176">
        <f ca="1">SUM(TblConstr[[#This Row],[Plain]:[Water]])</f>
        <v>0</v>
      </c>
      <c r="C14" s="177">
        <f ca="1">SUM(TblConstr[[#This Row],[Tot Hom]:[Tot Doc]])</f>
        <v>50</v>
      </c>
      <c r="D14" s="177">
        <f>SUM(O$5:AG14)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O14" s="179"/>
      <c r="P14" s="179"/>
      <c r="Q14" s="179"/>
      <c r="R14" s="158"/>
      <c r="S14" s="179"/>
      <c r="T14" s="179"/>
      <c r="U14" s="179"/>
      <c r="V14" s="179"/>
      <c r="W14" s="179"/>
      <c r="X14" s="179"/>
      <c r="Y14" s="179"/>
      <c r="Z14" s="179"/>
      <c r="AA14" s="179"/>
      <c r="AB14" s="179"/>
      <c r="AC14" s="179"/>
      <c r="AD14" s="179"/>
      <c r="AE14" s="179"/>
      <c r="AF14" s="179"/>
      <c r="AG14" s="179"/>
      <c r="AH14" s="53">
        <f ca="1">TblImps[[#This Row],[Time]]</f>
        <v>45815.416666666642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132091</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45815.416666666642</v>
      </c>
      <c r="BV14" s="142"/>
      <c r="BW14" s="179"/>
      <c r="BX14" s="179"/>
      <c r="BY14" s="179"/>
      <c r="BZ14" s="179"/>
      <c r="CA14" s="179"/>
      <c r="CB14" s="179"/>
      <c r="CC14" s="179"/>
      <c r="CD14" s="179"/>
      <c r="CE14" s="179"/>
      <c r="CF14" s="179"/>
      <c r="CG14" s="179"/>
      <c r="CH14" s="179"/>
      <c r="CI14" s="179"/>
      <c r="CJ14" s="179"/>
      <c r="CK14" s="179"/>
      <c r="CL14" s="179"/>
      <c r="CM14" s="179"/>
      <c r="CN14" s="179"/>
      <c r="CO14" s="179"/>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x14ac:dyDescent="0.2">
      <c r="A15" s="175">
        <f>TblRezone[[#This Row],[Hour]]</f>
        <v>12</v>
      </c>
      <c r="B15" s="176">
        <f ca="1">SUM(TblConstr[[#This Row],[Plain]:[Water]])</f>
        <v>0</v>
      </c>
      <c r="C15" s="177">
        <f ca="1">SUM(TblConstr[[#This Row],[Tot Hom]:[Tot Doc]])</f>
        <v>50</v>
      </c>
      <c r="D15" s="177">
        <f>SUM(O$5:AG15)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O15" s="179"/>
      <c r="P15" s="179"/>
      <c r="Q15" s="179"/>
      <c r="R15" s="179"/>
      <c r="S15" s="179"/>
      <c r="T15" s="179"/>
      <c r="U15" s="179"/>
      <c r="V15" s="179"/>
      <c r="W15" s="179"/>
      <c r="X15" s="179"/>
      <c r="Y15" s="179"/>
      <c r="Z15" s="179"/>
      <c r="AA15" s="179"/>
      <c r="AB15" s="179"/>
      <c r="AC15" s="179"/>
      <c r="AD15" s="179"/>
      <c r="AE15" s="179"/>
      <c r="AF15" s="179"/>
      <c r="AG15" s="179"/>
      <c r="AH15" s="53">
        <f ca="1">TblImps[[#This Row],[Time]]</f>
        <v>45815.458333333307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133238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45815.458333333307</v>
      </c>
      <c r="BV15" s="142"/>
      <c r="BW15" s="179"/>
      <c r="BX15" s="179"/>
      <c r="BY15" s="179"/>
      <c r="BZ15" s="179"/>
      <c r="CA15" s="179"/>
      <c r="CB15" s="179"/>
      <c r="CC15" s="179"/>
      <c r="CD15" s="179"/>
      <c r="CE15" s="179"/>
      <c r="CF15" s="179"/>
      <c r="CG15" s="179"/>
      <c r="CH15" s="179"/>
      <c r="CI15" s="179"/>
      <c r="CJ15" s="179"/>
      <c r="CK15" s="179"/>
      <c r="CL15" s="179"/>
      <c r="CM15" s="179"/>
      <c r="CN15" s="179"/>
      <c r="CO15" s="179"/>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45815.499999999971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134374</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45815.499999999971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x14ac:dyDescent="0.2">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O17" s="179"/>
      <c r="P17" s="179"/>
      <c r="Q17" s="179"/>
      <c r="R17" s="179"/>
      <c r="S17" s="179"/>
      <c r="T17" s="179"/>
      <c r="U17" s="179"/>
      <c r="V17" s="179"/>
      <c r="W17" s="179"/>
      <c r="X17" s="158"/>
      <c r="Y17" s="179"/>
      <c r="Z17" s="179"/>
      <c r="AA17" s="179"/>
      <c r="AB17" s="179"/>
      <c r="AC17" s="179"/>
      <c r="AD17" s="179"/>
      <c r="AE17" s="179"/>
      <c r="AF17" s="179"/>
      <c r="AG17" s="179"/>
      <c r="AH17" s="53">
        <f ca="1">TblImps[[#This Row],[Time]]</f>
        <v>45815.541666666635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135499</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45815.541666666635</v>
      </c>
      <c r="BV17" s="142"/>
      <c r="BW17" s="179"/>
      <c r="BX17" s="179"/>
      <c r="BY17" s="179"/>
      <c r="BZ17" s="179"/>
      <c r="CA17" s="179"/>
      <c r="CB17" s="179"/>
      <c r="CC17" s="179"/>
      <c r="CD17" s="179"/>
      <c r="CE17" s="179"/>
      <c r="CF17" s="179"/>
      <c r="CG17" s="179"/>
      <c r="CH17" s="179"/>
      <c r="CI17" s="179"/>
      <c r="CJ17" s="179"/>
      <c r="CK17" s="179"/>
      <c r="CL17" s="179"/>
      <c r="CM17" s="179"/>
      <c r="CN17" s="179"/>
      <c r="CO17" s="179"/>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x14ac:dyDescent="0.2">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O18" s="179"/>
      <c r="P18" s="179"/>
      <c r="Q18" s="179"/>
      <c r="R18" s="179"/>
      <c r="S18" s="179"/>
      <c r="T18" s="179"/>
      <c r="U18" s="179"/>
      <c r="V18" s="179"/>
      <c r="W18" s="179"/>
      <c r="X18" s="179"/>
      <c r="Y18" s="179"/>
      <c r="Z18" s="179"/>
      <c r="AA18" s="179"/>
      <c r="AB18" s="179"/>
      <c r="AC18" s="179"/>
      <c r="AD18" s="179"/>
      <c r="AE18" s="179"/>
      <c r="AF18" s="179"/>
      <c r="AG18" s="179"/>
      <c r="AH18" s="53">
        <f ca="1">TblImps[[#This Row],[Time]]</f>
        <v>45815.583333333299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136614</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45815.583333333299</v>
      </c>
      <c r="BV18" s="142"/>
      <c r="BW18" s="179"/>
      <c r="BX18" s="179"/>
      <c r="BY18" s="179"/>
      <c r="BZ18" s="179"/>
      <c r="CA18" s="179"/>
      <c r="CB18" s="179"/>
      <c r="CC18" s="179"/>
      <c r="CD18" s="179"/>
      <c r="CE18" s="179"/>
      <c r="CF18" s="179"/>
      <c r="CG18" s="179"/>
      <c r="CH18" s="179"/>
      <c r="CI18" s="179"/>
      <c r="CJ18" s="179"/>
      <c r="CK18" s="179"/>
      <c r="CL18" s="179"/>
      <c r="CM18" s="179"/>
      <c r="CN18" s="179"/>
      <c r="CO18" s="179"/>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x14ac:dyDescent="0.2">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O19" s="179"/>
      <c r="P19" s="179"/>
      <c r="Q19" s="179"/>
      <c r="R19" s="179"/>
      <c r="S19" s="179"/>
      <c r="T19" s="179"/>
      <c r="U19" s="179"/>
      <c r="V19" s="179"/>
      <c r="W19" s="179"/>
      <c r="X19" s="179"/>
      <c r="Y19" s="179"/>
      <c r="Z19" s="179"/>
      <c r="AA19" s="179"/>
      <c r="AB19" s="179"/>
      <c r="AC19" s="179"/>
      <c r="AD19" s="179"/>
      <c r="AE19" s="179"/>
      <c r="AF19" s="179"/>
      <c r="AG19" s="179"/>
      <c r="AH19" s="53">
        <f ca="1">TblImps[[#This Row],[Time]]</f>
        <v>45815.624999999964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137718</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45815.624999999964</v>
      </c>
      <c r="BV19" s="142"/>
      <c r="BW19" s="179"/>
      <c r="BX19" s="179"/>
      <c r="BY19" s="179"/>
      <c r="BZ19" s="179"/>
      <c r="CA19" s="179"/>
      <c r="CB19" s="179"/>
      <c r="CC19" s="179"/>
      <c r="CD19" s="179"/>
      <c r="CE19" s="179"/>
      <c r="CF19" s="179"/>
      <c r="CG19" s="179"/>
      <c r="CH19" s="179"/>
      <c r="CI19" s="179"/>
      <c r="CJ19" s="179"/>
      <c r="CK19" s="179"/>
      <c r="CL19" s="179"/>
      <c r="CM19" s="179"/>
      <c r="CN19" s="179"/>
      <c r="CO19" s="179"/>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x14ac:dyDescent="0.2">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O20" s="179"/>
      <c r="P20" s="179"/>
      <c r="Q20" s="179"/>
      <c r="R20" s="179"/>
      <c r="S20" s="179"/>
      <c r="T20" s="179"/>
      <c r="U20" s="179"/>
      <c r="V20" s="179"/>
      <c r="W20" s="179"/>
      <c r="X20" s="179"/>
      <c r="Y20" s="179"/>
      <c r="Z20" s="179"/>
      <c r="AA20" s="179"/>
      <c r="AB20" s="179"/>
      <c r="AC20" s="179"/>
      <c r="AD20" s="179"/>
      <c r="AE20" s="179"/>
      <c r="AF20" s="179"/>
      <c r="AG20" s="179"/>
      <c r="AH20" s="53">
        <f ca="1">TblImps[[#This Row],[Time]]</f>
        <v>45815.666666666628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138811</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45815.666666666628</v>
      </c>
      <c r="BV20" s="142"/>
      <c r="BW20" s="179"/>
      <c r="BX20" s="179"/>
      <c r="BY20" s="179"/>
      <c r="BZ20" s="179"/>
      <c r="CA20" s="179"/>
      <c r="CB20" s="179"/>
      <c r="CC20" s="179"/>
      <c r="CD20" s="179"/>
      <c r="CE20" s="179"/>
      <c r="CF20" s="179"/>
      <c r="CG20" s="179"/>
      <c r="CH20" s="179"/>
      <c r="CI20" s="179"/>
      <c r="CJ20" s="179"/>
      <c r="CK20" s="179"/>
      <c r="CL20" s="179"/>
      <c r="CM20" s="179"/>
      <c r="CN20" s="179"/>
      <c r="CO20" s="179"/>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x14ac:dyDescent="0.2">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O21" s="179"/>
      <c r="P21" s="179"/>
      <c r="Q21" s="179"/>
      <c r="R21" s="179"/>
      <c r="S21" s="179"/>
      <c r="T21" s="179"/>
      <c r="U21" s="179"/>
      <c r="V21" s="179"/>
      <c r="W21" s="179"/>
      <c r="X21" s="179"/>
      <c r="Y21" s="179"/>
      <c r="Z21" s="179"/>
      <c r="AA21" s="179"/>
      <c r="AB21" s="179"/>
      <c r="AC21" s="179"/>
      <c r="AD21" s="179"/>
      <c r="AE21" s="179"/>
      <c r="AF21" s="179"/>
      <c r="AG21" s="179"/>
      <c r="AH21" s="53">
        <f ca="1">TblImps[[#This Row],[Time]]</f>
        <v>45815.708333333292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139893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45815.708333333292</v>
      </c>
      <c r="BV21" s="142"/>
      <c r="BW21" s="179"/>
      <c r="BX21" s="179"/>
      <c r="BY21" s="179"/>
      <c r="BZ21" s="179"/>
      <c r="CA21" s="179"/>
      <c r="CB21" s="179"/>
      <c r="CC21" s="179"/>
      <c r="CD21" s="179"/>
      <c r="CE21" s="179"/>
      <c r="CF21" s="179"/>
      <c r="CG21" s="179"/>
      <c r="CH21" s="179"/>
      <c r="CI21" s="179"/>
      <c r="CJ21" s="179"/>
      <c r="CK21" s="179"/>
      <c r="CL21" s="179"/>
      <c r="CM21" s="179"/>
      <c r="CN21" s="179"/>
      <c r="CO21" s="179"/>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x14ac:dyDescent="0.2">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O22" s="179"/>
      <c r="P22" s="179"/>
      <c r="Q22" s="179"/>
      <c r="R22" s="179"/>
      <c r="S22" s="179"/>
      <c r="T22" s="179"/>
      <c r="U22" s="179"/>
      <c r="V22" s="179"/>
      <c r="W22" s="179"/>
      <c r="X22" s="179"/>
      <c r="Y22" s="179"/>
      <c r="Z22" s="179"/>
      <c r="AA22" s="179"/>
      <c r="AB22" s="179"/>
      <c r="AC22" s="179"/>
      <c r="AD22" s="179"/>
      <c r="AE22" s="179"/>
      <c r="AF22" s="179"/>
      <c r="AG22" s="179"/>
      <c r="AH22" s="53">
        <f ca="1">TblImps[[#This Row],[Time]]</f>
        <v>45815.749999999956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140964</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45815.749999999956</v>
      </c>
      <c r="BV22" s="142"/>
      <c r="BW22" s="179"/>
      <c r="BX22" s="179"/>
      <c r="BY22" s="179"/>
      <c r="BZ22" s="179"/>
      <c r="CA22" s="179"/>
      <c r="CB22" s="179"/>
      <c r="CC22" s="179"/>
      <c r="CD22" s="179"/>
      <c r="CE22" s="179"/>
      <c r="CF22" s="179"/>
      <c r="CG22" s="179"/>
      <c r="CH22" s="179"/>
      <c r="CI22" s="179"/>
      <c r="CJ22" s="179"/>
      <c r="CK22" s="179"/>
      <c r="CL22" s="179"/>
      <c r="CM22" s="179"/>
      <c r="CN22" s="179"/>
      <c r="CO22" s="179"/>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x14ac:dyDescent="0.2">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O23" s="179"/>
      <c r="P23" s="179"/>
      <c r="Q23" s="179"/>
      <c r="R23" s="179"/>
      <c r="S23" s="179"/>
      <c r="T23" s="179"/>
      <c r="U23" s="179"/>
      <c r="V23" s="179"/>
      <c r="W23" s="179"/>
      <c r="X23" s="179"/>
      <c r="Y23" s="179"/>
      <c r="Z23" s="179"/>
      <c r="AA23" s="179"/>
      <c r="AB23" s="179"/>
      <c r="AC23" s="179"/>
      <c r="AD23" s="179"/>
      <c r="AE23" s="179"/>
      <c r="AF23" s="179"/>
      <c r="AG23" s="179"/>
      <c r="AH23" s="53">
        <f ca="1">TblImps[[#This Row],[Time]]</f>
        <v>45815.791666666621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142025</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45815.791666666621</v>
      </c>
      <c r="BV23" s="142"/>
      <c r="BW23" s="179"/>
      <c r="BX23" s="179"/>
      <c r="BY23" s="179"/>
      <c r="BZ23" s="179"/>
      <c r="CA23" s="179"/>
      <c r="CB23" s="179"/>
      <c r="CC23" s="179"/>
      <c r="CD23" s="179"/>
      <c r="CE23" s="179"/>
      <c r="CF23" s="179"/>
      <c r="CG23" s="179"/>
      <c r="CH23" s="179"/>
      <c r="CI23" s="179"/>
      <c r="CJ23" s="179"/>
      <c r="CK23" s="179"/>
      <c r="CL23" s="179"/>
      <c r="CM23" s="179"/>
      <c r="CN23" s="179"/>
      <c r="CO23" s="179"/>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x14ac:dyDescent="0.2">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O24" s="179"/>
      <c r="P24" s="179"/>
      <c r="Q24" s="179"/>
      <c r="R24" s="158"/>
      <c r="S24" s="179"/>
      <c r="T24" s="179"/>
      <c r="U24" s="179"/>
      <c r="V24" s="179"/>
      <c r="W24" s="179"/>
      <c r="X24" s="179"/>
      <c r="Y24" s="179"/>
      <c r="Z24" s="179"/>
      <c r="AA24" s="179"/>
      <c r="AB24" s="179"/>
      <c r="AC24" s="179"/>
      <c r="AD24" s="179"/>
      <c r="AE24" s="179"/>
      <c r="AF24" s="179"/>
      <c r="AG24" s="179"/>
      <c r="AH24" s="53">
        <f ca="1">TblImps[[#This Row],[Time]]</f>
        <v>45815.833333333285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143075</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45815.833333333285</v>
      </c>
      <c r="BV24" s="142"/>
      <c r="BW24" s="179"/>
      <c r="BX24" s="179"/>
      <c r="BY24" s="179"/>
      <c r="BZ24" s="179"/>
      <c r="CA24" s="179"/>
      <c r="CB24" s="179"/>
      <c r="CC24" s="179"/>
      <c r="CD24" s="179"/>
      <c r="CE24" s="179"/>
      <c r="CF24" s="179"/>
      <c r="CG24" s="179"/>
      <c r="CH24" s="179"/>
      <c r="CI24" s="179"/>
      <c r="CJ24" s="179"/>
      <c r="CK24" s="179"/>
      <c r="CL24" s="179"/>
      <c r="CM24" s="179"/>
      <c r="CN24" s="179"/>
      <c r="CO24" s="179"/>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x14ac:dyDescent="0.2">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O25" s="179"/>
      <c r="P25" s="179"/>
      <c r="Q25" s="179"/>
      <c r="R25" s="158"/>
      <c r="S25" s="179"/>
      <c r="T25" s="179"/>
      <c r="U25" s="179"/>
      <c r="V25" s="179"/>
      <c r="W25" s="179"/>
      <c r="X25" s="179"/>
      <c r="Y25" s="179"/>
      <c r="Z25" s="179"/>
      <c r="AA25" s="179"/>
      <c r="AB25" s="179"/>
      <c r="AC25" s="179"/>
      <c r="AD25" s="179"/>
      <c r="AE25" s="179"/>
      <c r="AF25" s="179"/>
      <c r="AG25" s="179"/>
      <c r="AH25" s="53">
        <f ca="1">TblImps[[#This Row],[Time]]</f>
        <v>45815.874999999949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144114</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45815.874999999949</v>
      </c>
      <c r="BV25" s="142"/>
      <c r="BW25" s="179"/>
      <c r="BX25" s="179"/>
      <c r="BY25" s="179"/>
      <c r="BZ25" s="179"/>
      <c r="CA25" s="179"/>
      <c r="CB25" s="179"/>
      <c r="CC25" s="179"/>
      <c r="CD25" s="179"/>
      <c r="CE25" s="179"/>
      <c r="CF25" s="179"/>
      <c r="CG25" s="179"/>
      <c r="CH25" s="179"/>
      <c r="CI25" s="179"/>
      <c r="CJ25" s="179"/>
      <c r="CK25" s="179"/>
      <c r="CL25" s="179"/>
      <c r="CM25" s="179"/>
      <c r="CN25" s="179"/>
      <c r="CO25" s="179"/>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x14ac:dyDescent="0.2">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O26" s="179"/>
      <c r="P26" s="179"/>
      <c r="Q26" s="179"/>
      <c r="R26" s="158"/>
      <c r="S26" s="179"/>
      <c r="T26" s="179"/>
      <c r="U26" s="179"/>
      <c r="V26" s="179"/>
      <c r="W26" s="179"/>
      <c r="X26" s="179"/>
      <c r="Y26" s="179"/>
      <c r="Z26" s="179"/>
      <c r="AA26" s="179"/>
      <c r="AB26" s="179"/>
      <c r="AC26" s="179"/>
      <c r="AD26" s="179"/>
      <c r="AE26" s="179"/>
      <c r="AF26" s="179"/>
      <c r="AG26" s="179"/>
      <c r="AH26" s="53">
        <f ca="1">TblImps[[#This Row],[Time]]</f>
        <v>45815.916666666613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145142</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45815.916666666613</v>
      </c>
      <c r="BV26" s="142"/>
      <c r="BW26" s="179"/>
      <c r="BX26" s="179"/>
      <c r="BY26" s="179"/>
      <c r="BZ26" s="179"/>
      <c r="CA26" s="179"/>
      <c r="CB26" s="179"/>
      <c r="CC26" s="179"/>
      <c r="CD26" s="179"/>
      <c r="CE26" s="179"/>
      <c r="CF26" s="179"/>
      <c r="CG26" s="179"/>
      <c r="CH26" s="179"/>
      <c r="CI26" s="179"/>
      <c r="CJ26" s="179"/>
      <c r="CK26" s="179"/>
      <c r="CL26" s="179"/>
      <c r="CM26" s="179"/>
      <c r="CN26" s="179"/>
      <c r="CO26" s="179"/>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x14ac:dyDescent="0.2">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O27" s="179"/>
      <c r="P27" s="158"/>
      <c r="Q27" s="179"/>
      <c r="R27" s="179"/>
      <c r="S27" s="179"/>
      <c r="T27" s="179"/>
      <c r="U27" s="179"/>
      <c r="V27" s="179"/>
      <c r="W27" s="179"/>
      <c r="X27" s="179"/>
      <c r="Y27" s="179"/>
      <c r="Z27" s="179"/>
      <c r="AA27" s="179"/>
      <c r="AB27" s="179"/>
      <c r="AC27" s="179"/>
      <c r="AD27" s="179"/>
      <c r="AE27" s="179"/>
      <c r="AF27" s="179"/>
      <c r="AG27" s="179"/>
      <c r="AH27" s="53">
        <f ca="1">TblImps[[#This Row],[Time]]</f>
        <v>45815.958333333278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146159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45815.958333333278</v>
      </c>
      <c r="BV27" s="142"/>
      <c r="BW27" s="179"/>
      <c r="BX27" s="179"/>
      <c r="BY27" s="179"/>
      <c r="BZ27" s="179"/>
      <c r="CA27" s="179"/>
      <c r="CB27" s="179"/>
      <c r="CC27" s="179"/>
      <c r="CD27" s="179"/>
      <c r="CE27" s="179"/>
      <c r="CF27" s="179"/>
      <c r="CG27" s="179"/>
      <c r="CH27" s="179"/>
      <c r="CI27" s="179"/>
      <c r="CJ27" s="179"/>
      <c r="CK27" s="179"/>
      <c r="CL27" s="179"/>
      <c r="CM27" s="179"/>
      <c r="CN27" s="179"/>
      <c r="CO27" s="179"/>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x14ac:dyDescent="0.2">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45815.999999999942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147166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45815.999999999942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x14ac:dyDescent="0.2">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45816.041666666606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148162</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45816.041666666606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x14ac:dyDescent="0.2">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45816.08333333327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149147</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45816.08333333327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x14ac:dyDescent="0.2">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45816.124999999935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150121</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45816.124999999935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x14ac:dyDescent="0.2">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45816.166666666599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151084</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45816.166666666599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x14ac:dyDescent="0.2">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45816.208333333263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152037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45816.208333333263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x14ac:dyDescent="0.2">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45816.249999999927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152979</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45816.249999999927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x14ac:dyDescent="0.2">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45816.291666666591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153913</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45816.291666666591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x14ac:dyDescent="0.2">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45816.333333333256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154839</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45816.333333333256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x14ac:dyDescent="0.2">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45816.37499999992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155757</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45816.37499999992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x14ac:dyDescent="0.2">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45816.416666666584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156666</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45816.416666666584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x14ac:dyDescent="0.2">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45816.458333333248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157567</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45816.458333333248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x14ac:dyDescent="0.2">
      <c r="A40" s="175">
        <f>TblRezone[[#This Row],[Hour]]</f>
        <v>37</v>
      </c>
      <c r="B40" s="176">
        <f ca="1">SUM(TblConstr[[#This Row],[Plain]:[Water]])</f>
        <v>0</v>
      </c>
      <c r="C40" s="177">
        <f ca="1">SUM(TblConstr[[#This Row],[Tot Hom]:[Tot Doc]])</f>
        <v>50</v>
      </c>
      <c r="D40" s="177">
        <f t="shared" si="2"/>
        <v>0</v>
      </c>
      <c r="E40" s="178"/>
      <c r="F40" s="61">
        <f ca="1">TblConstr[[#This Row],[Barren]]+TblConstr[[#This Row],[Buildings]]+TblConstr[[#This Row],[Incoming]]</f>
        <v>50</v>
      </c>
      <c r="G40" s="187">
        <f ca="1">OFFSET(TblConstr[[#This Row],[Plain]],-1,0)+TblConstr[[#This Row],[Ch_Plain]]</f>
        <v>0</v>
      </c>
      <c r="H40" s="182">
        <f ca="1">OFFSET(TblConstr[[#This Row],[Forest]],-1,0)+TblConstr[[#This Row],[Ch_Forest]]</f>
        <v>0</v>
      </c>
      <c r="I40" s="359">
        <f ca="1">OFFSET(TblConstr[[#This Row],[Mountain]],-1,0)+TblConstr[[#This Row],[Ch_Mountain]]</f>
        <v>0</v>
      </c>
      <c r="J40" s="363">
        <f ca="1">OFFSET(TblConstr[[#This Row],[Hill]],-1,0)+TblConstr[[#This Row],[Ch_Hill]]</f>
        <v>0</v>
      </c>
      <c r="K40" s="367">
        <f ca="1">OFFSET(TblConstr[[#This Row],[Swamp]],-1,0)+TblConstr[[#This Row],[Ch_Swamp]]</f>
        <v>0</v>
      </c>
      <c r="L40" s="185">
        <f ca="1">OFFSET(TblConstr[[#This Row],[Cavern]],-1,0)+TblConstr[[#This Row],[Ch_Cavern]]</f>
        <v>0</v>
      </c>
      <c r="M40" s="186">
        <f ca="1">OFFSET(TblConstr[[#This Row],[Water]],-1,0)+TblConstr[[#This Row],[Ch_Water]]</f>
        <v>0</v>
      </c>
      <c r="N40" s="357">
        <f>TblRezone[[#This Row],[Hour]]</f>
        <v>37</v>
      </c>
      <c r="O40" s="179"/>
      <c r="P40" s="179"/>
      <c r="Q40" s="179"/>
      <c r="R40" s="179"/>
      <c r="S40" s="179"/>
      <c r="T40" s="179"/>
      <c r="U40" s="179"/>
      <c r="V40" s="179"/>
      <c r="W40" s="179"/>
      <c r="X40" s="179"/>
      <c r="Y40" s="179"/>
      <c r="Z40" s="179"/>
      <c r="AA40" s="179"/>
      <c r="AB40" s="179"/>
      <c r="AC40" s="179"/>
      <c r="AD40" s="179"/>
      <c r="AE40" s="179"/>
      <c r="AF40" s="179"/>
      <c r="AG40" s="179"/>
      <c r="AH40" s="53">
        <f ca="1">TblImps[[#This Row],[Time]]</f>
        <v>45816.499999999913</v>
      </c>
      <c r="AI40" s="180">
        <f ca="1">MIN(25%,(TblConstr[[#This Row],[Tot Fac]]+TblConstr[[#This Row],[Dest Fac]])/(TblConstr[[#This Row],[Land]]-TblExplore[[#This Row],[Land Bonus]]*20))</f>
        <v>0</v>
      </c>
      <c r="AJ40" s="180">
        <f ca="1">MIN(25%,(TblConstr[[#This Row],[Tot Fac]]+TblConstr[[#This Row],[Dest Fac]])/TblConstr[[#This Row],[Land]])</f>
        <v>0</v>
      </c>
      <c r="AK40" s="94">
        <f ca="1">TblProd[[#This Row],[Platinum]]</f>
        <v>158460</v>
      </c>
      <c r="AL40" s="94">
        <f ca="1">TblProd[[#This Row],[Lumber]]</f>
        <v>40804</v>
      </c>
      <c r="AM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94">
        <f ca="1">ROUNDDOWN( MAX(1 - MIN(facs_constr_factor*TblConstr[[#This Row],[Facs -DB]],facs_constr_max) + tech_1_11*TblTech[[#This Row],[11-1]] + tech_6_3_2*TblTech[[#This Row],[6-3]] + tech_5_2_3*TblTech[[#This Row],[5-2]], 1-global_constr_cap) * TblConstr[[#This Row],[RCPA Lumber]],0)</f>
        <v>31</v>
      </c>
      <c r="AO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94">
        <f ca="1">ROUNDDOWN( MAX(1 - MIN(facs_constr_factor*TblConstr[[#This Row],[Facs DB]],facs_constr_max) + tech_1_11*TblTech[[#This Row],[1-11]] + tech_6_3_2*TblTech[[#This Row],[6-3]] + tech_5_2_3*TblTech[[#This Row],[5-2]], 1-global_constr_cap) * ROUND((TblConstr[[#This Row],[Land]]-250)*0.285 + 87.5 + 0/4.25,0),0)</f>
        <v>31</v>
      </c>
      <c r="AQ40" s="45">
        <f ca="1">TblConstr[[#This Row],[build -db]]*TblConstr[[#This Row],[CPA Platinum -DB]] + TblConstr[[#This Row],[build db]]*TblConstr[[#This Row],[CPA Platinum DB]]</f>
        <v>0</v>
      </c>
      <c r="AR40" s="45">
        <f ca="1">TblConstr[[#This Row],[build -db]]*TblConstr[[#This Row],[CPA Lumber -DB]] + TblConstr[[#This Row],[build db]]*TblConstr[[#This Row],[CPA Lumber DB]]</f>
        <v>0</v>
      </c>
      <c r="AS40" s="94">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2"/>
      <c r="AV40" s="94">
        <f ca="1">ROUND((TblConstr[[#This Row],[Land]]-250 - IF(TblExplore[[#This Row],[Land Bonus]]&lt;&gt;0,20,0))*1.25 + 850 + 0,0)</f>
        <v>600</v>
      </c>
      <c r="AW40" s="94">
        <f ca="1">ROUND((TblConstr[[#This Row],[Land]]-250 - IF(TblExplore[[#This Row],[Land Bonus]]&lt;&gt;0,20,0))*0.285 + 87.5 + 0/4.25,0)</f>
        <v>31</v>
      </c>
      <c r="AX40" s="154"/>
      <c r="AY40" s="188" cm="1">
        <f t="array" aca="1" ref="AY40" ca="1">IF(TblConstr[[#This Row],[Hour]:[Hour]]&gt;12,OFFSET(TblConstr[[#This Row],[Hom]],-12,0),0)+OFFSET(TblConstr[[#This Row],[Tot Hom]],-1,0)-TblConstr[[#This Row],[Dest Hom]]</f>
        <v>0</v>
      </c>
      <c r="AZ40" s="189" cm="1">
        <f t="array" aca="1" ref="AZ40" ca="1">IF(TblConstr[[#This Row],[Hour]:[Hour]]&gt;12,OFFSET(TblConstr[[#This Row],[Alc]],-12,0),0)+OFFSET(TblConstr[[#This Row],[Tot Alc]],-1,0)-TblConstr[[#This Row],[Dest Alc]]</f>
        <v>0</v>
      </c>
      <c r="BA40" s="189" cm="1">
        <f t="array" aca="1" ref="BA40" ca="1">IF(TblConstr[[#This Row],[Hour]:[Hour]]&gt;12,OFFSET(TblConstr[[#This Row],[Far]],-12,0),0)+OFFSET(TblConstr[[#This Row],[Tot Farm]],-1,0)-TblConstr[[#This Row],[Dest Farm]]</f>
        <v>30</v>
      </c>
      <c r="BB40" s="189" cm="1">
        <f t="array" aca="1" ref="BB40" ca="1">IF(TblConstr[[#This Row],[Hour]:[Hour]]&gt;12,OFFSET(TblConstr[[#This Row],[Smi]],-12,0),0)+OFFSET(TblConstr[[#This Row],[Tot Smi]],-1,0)-TblConstr[[#This Row],[Dest Smi]]</f>
        <v>0</v>
      </c>
      <c r="BC40" s="189" cm="1">
        <f t="array" aca="1" ref="BC40" ca="1">IF(TblConstr[[#This Row],[Hour]:[Hour]]&gt;12,OFFSET(TblConstr[[#This Row],[Mas]],-12,0),0)+OFFSET(TblConstr[[#This Row],[Tot Mas]],-1,0)-TblConstr[[#This Row],[Dest Mas]]</f>
        <v>0</v>
      </c>
      <c r="BD40" s="190" cm="1">
        <f t="array" aca="1" ref="BD40" ca="1">IF(TblConstr[[#This Row],[Hour]:[Hour]]&gt;12,OFFSET(TblConstr[[#This Row],[Ly]],-12,0),0)+OFFSET(TblConstr[[#This Row],[Tot Ly]],-1,0)-TblConstr[[#This Row],[Dest Ly]]</f>
        <v>20</v>
      </c>
      <c r="BE40" s="190" cm="1">
        <f t="array" aca="1" ref="BE40" ca="1">IF(TblConstr[[#This Row],[Hour]:[Hour]]&gt;12,OFFSET(TblConstr[[#This Row],[Hav]],-12,0),0)+OFFSET(TblConstr[[#This Row],[Tot Hav]],-1,0)-TblConstr[[#This Row],[Dest Hav]]</f>
        <v>0</v>
      </c>
      <c r="BF40" s="361" cm="1">
        <f t="array" aca="1" ref="BF40" ca="1">IF(TblConstr[[#This Row],[Hour]:[Hour]]&gt;12,OFFSET(TblConstr[[#This Row],[OM]],-12,0),0)+OFFSET(TblConstr[[#This Row],[Tot OM]],-1,0)-TblConstr[[#This Row],[Dest OM]]</f>
        <v>0</v>
      </c>
      <c r="BG40" s="361" cm="1">
        <f t="array" aca="1" ref="BG40" ca="1">IF(TblConstr[[#This Row],[Hour]:[Hour]]&gt;12,OFFSET(TblConstr[[#This Row],[GN]],-12,0),0)+OFFSET(TblConstr[[#This Row],[Tot GN]],-1,0)-TblConstr[[#This Row],[Dest GN]]</f>
        <v>0</v>
      </c>
      <c r="BH40" s="365" cm="1">
        <f t="array" aca="1" ref="BH40" ca="1">IF(TblConstr[[#This Row],[Hour]:[Hour]]&gt;12,OFFSET(TblConstr[[#This Row],[Fac]],-12,0),0)+OFFSET(TblConstr[[#This Row],[Tot Fac]],-1,0)-TblConstr[[#This Row],[Dest Fac]]</f>
        <v>0</v>
      </c>
      <c r="BI40" s="365" cm="1">
        <f t="array" aca="1" ref="BI40" ca="1">IF(TblConstr[[#This Row],[Hour]:[Hour]]&gt;12,OFFSET(TblConstr[[#This Row],[GT]],-12,0),0)+OFFSET(TblConstr[[#This Row],[Tot GT]],-1,0)-TblConstr[[#This Row],[Dest GT]]</f>
        <v>0</v>
      </c>
      <c r="BJ40" s="365" cm="1">
        <f t="array" aca="1" ref="BJ40" ca="1">IF(TblConstr[[#This Row],[Hour]:[Hour]]&gt;12,OFFSET(TblConstr[[#This Row],[Bar]],-12,0),0)+OFFSET(TblConstr[[#This Row],[Tot Bar]],-1,0)-TblConstr[[#This Row],[Dest Bar]]</f>
        <v>0</v>
      </c>
      <c r="BK40" s="365" cm="1">
        <f t="array" aca="1" ref="BK40" ca="1">IF(TblConstr[[#This Row],[Hour]:[Hour]]&gt;12,OFFSET(TblConstr[[#This Row],[Shr]],-12,0),0)+OFFSET(TblConstr[[#This Row],[Tot Shr]],-1,0)-TblConstr[[#This Row],[Dest Shr]]</f>
        <v>0</v>
      </c>
      <c r="BL40" s="369" cm="1">
        <f t="array" aca="1" ref="BL40" ca="1">IF(TblConstr[[#This Row],[Hour]:[Hour]]&gt;12,OFFSET(TblConstr[[#This Row],[Tow]],-12,0),0)+OFFSET(TblConstr[[#This Row],[Tot Tow]],-1,0)-TblConstr[[#This Row],[Dest Tow]]</f>
        <v>0</v>
      </c>
      <c r="BM40" s="369" cm="1">
        <f t="array" aca="1" ref="BM40" ca="1">IF(TblConstr[[#This Row],[Hour]:[Hour]]&gt;12,OFFSET(TblConstr[[#This Row],[Tem]],-12,0),0)+OFFSET(TblConstr[[#This Row],[Tot Tem]],-1,0)-TblConstr[[#This Row],[Dest Tem]]</f>
        <v>0</v>
      </c>
      <c r="BN40" s="369" cm="1">
        <f t="array" aca="1" ref="BN40" ca="1">IF(TblConstr[[#This Row],[Hour]:[Hour]]&gt;12,OFFSET(TblConstr[[#This Row],[WG]],-12,0),0)+OFFSET(TblConstr[[#This Row],[Tot WG]],-1,0)-TblConstr[[#This Row],[Dest WG]]</f>
        <v>0</v>
      </c>
      <c r="BO40" s="191" cm="1">
        <f t="array" aca="1" ref="BO40" ca="1">IF(TblConstr[[#This Row],[Hour]:[Hour]]&gt;12,OFFSET(TblConstr[[#This Row],[DM]],-12,0),0)+OFFSET(TblConstr[[#This Row],[Tot DM]],-1,0)-TblConstr[[#This Row],[Dest DM]]</f>
        <v>0</v>
      </c>
      <c r="BP40" s="191" cm="1">
        <f t="array" aca="1" ref="BP40" ca="1">IF(TblConstr[[#This Row],[Hour]:[Hour]]&gt;12,OFFSET(TblConstr[[#This Row],[Sch]],-12,0),0)+OFFSET(TblConstr[[#This Row],[Tot Sch]],-1,0)-TblConstr[[#This Row],[Dest Sch]]</f>
        <v>0</v>
      </c>
      <c r="BQ40" s="192" cm="1">
        <f t="array" aca="1" ref="BQ40" ca="1">IF(TblConstr[[#This Row],[Hour]:[Hour]]&gt;12,OFFSET(TblConstr[[#This Row],[Doc]],-12,0),0)+OFFSET(TblConstr[[#This Row],[Tot Doc]],-1,0)-TblConstr[[#This Row],[Dest Doc]]</f>
        <v>0</v>
      </c>
      <c r="BR40" s="142"/>
      <c r="BS40" s="154"/>
      <c r="BT40" s="94">
        <f ca="1">TblConstr[[#This Row],[Land]]</f>
        <v>50</v>
      </c>
      <c r="BU40" s="159">
        <f ca="1">TblImps[[#This Row],[Time]]</f>
        <v>45816.499999999913</v>
      </c>
      <c r="BV40" s="142"/>
      <c r="BW40" s="179"/>
      <c r="BX40" s="179"/>
      <c r="BY40" s="179"/>
      <c r="BZ40" s="179"/>
      <c r="CA40" s="179"/>
      <c r="CB40" s="179"/>
      <c r="CC40" s="179"/>
      <c r="CD40" s="179"/>
      <c r="CE40" s="179"/>
      <c r="CF40" s="179"/>
      <c r="CG40" s="179"/>
      <c r="CH40" s="179"/>
      <c r="CI40" s="179"/>
      <c r="CJ40" s="179"/>
      <c r="CK40" s="179"/>
      <c r="CL40" s="179"/>
      <c r="CM40" s="179"/>
      <c r="CN40" s="179"/>
      <c r="CO40" s="179"/>
      <c r="CP40" s="142"/>
      <c r="CQ40" s="181">
        <f ca="1">-SUM(TblConstr[[#This Row],[Alc]:[Mas]])+SUM(TblConstr[[#This Row],[Dest Alc]:[Dest Mas]])+Rezone!L40+IF("Ch_"&amp; home_land=TblConstr[[#Headers],[Ch_Plain]],TblConstr[[#This Row],[Home Land]])+IF(TblConstr[[#This Row],[Hour]:[Hour]]&gt;12,OFFSET(TblExplore[[#This Row],[Plains Explore]],-12,0),0)</f>
        <v>0</v>
      </c>
      <c r="CR40" s="182">
        <f ca="1">-SUM(TblConstr[[#This Row],[Ly]:[Hav]])+SUM(TblConstr[[#This Row],[Dest Ly]:[Dest Hav]]) +Rezone!M40 + IF("Ch_"&amp; home_land=TblConstr[[#Headers],[Ch_Forest]],TblConstr[[#This Row],[Home Land]])+IF(TblConstr[[#This Row],[Hour]:[Hour]]&gt;12,OFFSET(TblExplore[[#This Row],[Forest Explore]],-12,0),0)</f>
        <v>0</v>
      </c>
      <c r="CS40" s="359">
        <f ca="1">-SUM(TblConstr[[#This Row],[OM]:[GN]])+SUM(TblConstr[[#This Row],[Dest OM]:[Dest GN]]) +Rezone!N40 + IF("Ch_"&amp; home_land=TblConstr[[#Headers],[Ch_Mountain]],TblConstr[[#This Row],[Home Land]])+IF(TblConstr[[#This Row],[Hour]:[Hour]]&gt;12,OFFSET(TblExplore[[#This Row],[Mountain Explore]],-12,0),0)</f>
        <v>0</v>
      </c>
      <c r="CT40" s="183">
        <f ca="1">-SUM(TblConstr[[#This Row],[Fac]:[Shr]])+SUM(TblConstr[[#This Row],[Dest Fac]:[Dest Shr]]) +Rezone!O40 + IF("Ch_" &amp; home_land=TblConstr[[#Headers],[Ch_Hill]],TblConstr[[#This Row],[Home Land]])+IF(TblConstr[[#This Row],[Hour]:[Hour]]&gt;12,OFFSET(TblExplore[[#This Row],[Hill Explore]],-12,0),0)</f>
        <v>0</v>
      </c>
      <c r="CU40" s="184">
        <f ca="1">-SUM(TblConstr[[#This Row],[Tow]:[WG]])+SUM(TblConstr[[#This Row],[Dest Tow]:[Dest WG]]) +Rezone!P40 + IF("Ch_" &amp; home_land=TblConstr[[#Headers],[Ch_Swamp]],TblConstr[[#This Row],[Home Land]])+IF(TblConstr[[#This Row],[Hour]:[Hour]]&gt;12,OFFSET(TblExplore[[#This Row],[Swamp Explore]],-12,0),0)</f>
        <v>0</v>
      </c>
      <c r="CV40" s="185">
        <f ca="1" xml:space="preserve"> - SUM(TblConstr[[#This Row],[DM]:[Sch]])+SUM(TblConstr[[#This Row],[Dest DM]:[Dest Sch]]) +Rezone!Q40 + IF("Ch_" &amp; home_land=TblConstr[[#Headers],[Ch_Cavern]],TblConstr[[#This Row],[Home Land]])+IF(TblConstr[[#This Row],[Hour]:[Hour]]&gt;12,OFFSET(TblExplore[[#This Row],[Cavern Explore]],-12,0),0)</f>
        <v>0</v>
      </c>
      <c r="CW40" s="186">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2"/>
      <c r="CZ40" s="94">
        <f t="shared" ca="1" si="3"/>
        <v>30</v>
      </c>
      <c r="DA40" s="94">
        <f t="shared" ca="1" si="4"/>
        <v>20</v>
      </c>
      <c r="DB40" s="45">
        <f t="shared" ca="1" si="5"/>
        <v>0</v>
      </c>
      <c r="DC40" s="94">
        <f t="shared" ca="1" si="6"/>
        <v>0</v>
      </c>
      <c r="DD40" s="94">
        <f t="shared" ca="1" si="7"/>
        <v>0</v>
      </c>
      <c r="DE40" s="45">
        <f t="shared" ca="1" si="8"/>
        <v>0</v>
      </c>
      <c r="DF40" s="94">
        <f t="shared" ca="1" si="9"/>
        <v>0</v>
      </c>
      <c r="DG40" s="94" cm="1">
        <f t="array" aca="1" ref="DG40" ca="1">INDEX(TblConstr[[Total Plain]:[Total Water]],ROW()-ROW(TblConstr[#Headers]),MATCH("Total "&amp;home_land,TblConstr[[#Headers],[Total Plain]:[Total Water]],0))+TblConstr[[#This Row],[Homes]]</f>
        <v>30</v>
      </c>
      <c r="DH40" s="45">
        <f t="shared" ca="1" si="10"/>
        <v>0</v>
      </c>
      <c r="DI40" s="45">
        <f t="shared" ca="1" si="0"/>
        <v>0</v>
      </c>
      <c r="DJ40" s="45">
        <f t="shared" ca="1" si="1"/>
        <v>0</v>
      </c>
    </row>
    <row r="41" spans="1:114" x14ac:dyDescent="0.2">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45816.541666666577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159345</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45816.541666666577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x14ac:dyDescent="0.2">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45816.583333333241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160222</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45816.583333333241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x14ac:dyDescent="0.2">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45816.624999999905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161091</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45816.624999999905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x14ac:dyDescent="0.2">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45816.66666666657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161952</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45816.66666666657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x14ac:dyDescent="0.2">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45816.708333333234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162805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45816.708333333234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x14ac:dyDescent="0.2">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45816.749999999898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163650</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45816.749999999898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x14ac:dyDescent="0.2">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45816.791666666562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164487</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45816.791666666562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x14ac:dyDescent="0.2">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45816.833333333227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165315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45816.833333333227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x14ac:dyDescent="0.2">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45816.874999999891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166135</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45816.874999999891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x14ac:dyDescent="0.2">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45816.916666666555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166947</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45816.916666666555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x14ac:dyDescent="0.2">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45816.958333333219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167751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45816.958333333219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s="5" customFormat="1" x14ac:dyDescent="0.2">
      <c r="A52" s="193">
        <f>TblRezone[[#This Row],[Hour]]</f>
        <v>49</v>
      </c>
      <c r="B52" s="434">
        <f ca="1">SUM(TblConstr[[#This Row],[Plain]:[Water]])</f>
        <v>0</v>
      </c>
      <c r="C52" s="173">
        <f ca="1">SUM(TblConstr[[#This Row],[Tot Hom]:[Tot Doc]])</f>
        <v>50</v>
      </c>
      <c r="D52" s="173">
        <f t="shared" si="11"/>
        <v>0</v>
      </c>
      <c r="E52" s="194"/>
      <c r="F52" s="148">
        <f ca="1">TblConstr[[#This Row],[Barren]]+TblConstr[[#This Row],[Buildings]]+TblConstr[[#This Row],[Incoming]]</f>
        <v>50</v>
      </c>
      <c r="G52" s="195">
        <f ca="1">OFFSET(TblConstr[[#This Row],[Plain]],-1,0)+TblConstr[[#This Row],[Ch_Plain]]</f>
        <v>0</v>
      </c>
      <c r="H52" s="196">
        <f ca="1">OFFSET(TblConstr[[#This Row],[Forest]],-1,0)+TblConstr[[#This Row],[Ch_Forest]]</f>
        <v>0</v>
      </c>
      <c r="I52" s="360">
        <f ca="1">OFFSET(TblConstr[[#This Row],[Mountain]],-1,0)+TblConstr[[#This Row],[Ch_Mountain]]</f>
        <v>0</v>
      </c>
      <c r="J52" s="364">
        <f ca="1">OFFSET(TblConstr[[#This Row],[Hill]],-1,0)+TblConstr[[#This Row],[Ch_Hill]]</f>
        <v>0</v>
      </c>
      <c r="K52" s="368">
        <f ca="1">OFFSET(TblConstr[[#This Row],[Swamp]],-1,0)+TblConstr[[#This Row],[Ch_Swamp]]</f>
        <v>0</v>
      </c>
      <c r="L52" s="199">
        <f ca="1">OFFSET(TblConstr[[#This Row],[Cavern]],-1,0)+TblConstr[[#This Row],[Ch_Cavern]]</f>
        <v>0</v>
      </c>
      <c r="M52" s="200">
        <f ca="1">OFFSET(TblConstr[[#This Row],[Water]],-1,0)+TblConstr[[#This Row],[Ch_Water]]</f>
        <v>0</v>
      </c>
      <c r="N52" s="358">
        <f>TblRezone[[#This Row],[Hour]]</f>
        <v>49</v>
      </c>
      <c r="O52" s="201"/>
      <c r="P52" s="201"/>
      <c r="Q52" s="201"/>
      <c r="R52" s="201"/>
      <c r="S52" s="201"/>
      <c r="T52" s="201"/>
      <c r="U52" s="201"/>
      <c r="V52" s="201"/>
      <c r="W52" s="201"/>
      <c r="X52" s="201"/>
      <c r="Y52" s="201"/>
      <c r="Z52" s="201"/>
      <c r="AA52" s="201"/>
      <c r="AB52" s="201"/>
      <c r="AC52" s="201"/>
      <c r="AD52" s="201"/>
      <c r="AE52" s="201"/>
      <c r="AF52" s="201"/>
      <c r="AG52" s="201"/>
      <c r="AH52" s="435">
        <f ca="1">TblImps[[#This Row],[Time]]</f>
        <v>45816.999999999884</v>
      </c>
      <c r="AI52" s="436">
        <f ca="1">MIN(25%,(TblConstr[[#This Row],[Tot Fac]]+TblConstr[[#This Row],[Dest Fac]])/(TblConstr[[#This Row],[Land]]-TblExplore[[#This Row],[Land Bonus]]*20))</f>
        <v>0</v>
      </c>
      <c r="AJ52" s="436">
        <f ca="1">MIN(25%,(TblConstr[[#This Row],[Tot Fac]]+TblConstr[[#This Row],[Dest Fac]])/TblConstr[[#This Row],[Land]])</f>
        <v>0</v>
      </c>
      <c r="AK52" s="35">
        <f ca="1">TblProd[[#This Row],[Platinum]]</f>
        <v>168547</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35">
        <f ca="1">ROUNDDOWN( MAX(1 - MIN(facs_constr_factor*TblConstr[[#This Row],[Facs -DB]],facs_constr_max) + tech_1_11*TblTech[[#This Row],[11-1]] + tech_6_3_2*TblTech[[#This Row],[6-3]] + tech_5_2_3*TblTech[[#This Row],[5-2]], 1-global_constr_cap) * TblConstr[[#This Row],[RCPA Lumber]],0)</f>
        <v>31</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35">
        <f ca="1">ROUNDDOWN( MAX(1 - MIN(facs_constr_factor*TblConstr[[#This Row],[Facs DB]],facs_constr_max) + tech_1_11*TblTech[[#This Row],[1-11]] + tech_6_3_2*TblTech[[#This Row],[6-3]] + tech_5_2_3*TblTech[[#This Row],[5-2]], 1-global_constr_cap) * ROUND((TblConstr[[#This Row],[Land]]-250)*0.285 + 87.5 + 0/4.25,0),0)</f>
        <v>31</v>
      </c>
      <c r="AQ52" s="5">
        <f ca="1">TblConstr[[#This Row],[build -db]]*TblConstr[[#This Row],[CPA Platinum -DB]] + TblConstr[[#This Row],[build db]]*TblConstr[[#This Row],[CPA Platinum DB]]</f>
        <v>0</v>
      </c>
      <c r="AR52" s="5">
        <f ca="1">TblConstr[[#This Row],[build -db]]*TblConstr[[#This Row],[CPA Lumber -DB]] + 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9"/>
      <c r="AV52" s="35">
        <f ca="1">ROUND((TblConstr[[#This Row],[Land]]-250 - IF(TblExplore[[#This Row],[Land Bonus]]&lt;&gt;0,20,0))*1.25 + 850 + 0,0)</f>
        <v>600</v>
      </c>
      <c r="AW52" s="35">
        <f ca="1">ROUND((TblConstr[[#This Row],[Land]]-250 - IF(TblExplore[[#This Row],[Land Bonus]]&lt;&gt;0,20,0))*0.285 + 87.5 + 0/4.25,0)</f>
        <v>31</v>
      </c>
      <c r="AX52" s="162"/>
      <c r="AY52" s="437" cm="1">
        <f t="array" aca="1" ref="AY52" ca="1">IF(TblConstr[[#This Row],[Hour]:[Hour]]&gt;12,OFFSET(TblConstr[[#This Row],[Hom]],-12,0),0)+OFFSET(TblConstr[[#This Row],[Tot Hom]],-1,0)-TblConstr[[#This Row],[Dest Hom]]</f>
        <v>0</v>
      </c>
      <c r="AZ52" s="203" cm="1">
        <f t="array" aca="1" ref="AZ52" ca="1">IF(TblConstr[[#This Row],[Hour]:[Hour]]&gt;12,OFFSET(TblConstr[[#This Row],[Alc]],-12,0),0)+OFFSET(TblConstr[[#This Row],[Tot Alc]],-1,0)-TblConstr[[#This Row],[Dest Alc]]</f>
        <v>0</v>
      </c>
      <c r="BA52" s="203" cm="1">
        <f t="array" aca="1" ref="BA52" ca="1">IF(TblConstr[[#This Row],[Hour]:[Hour]]&gt;12,OFFSET(TblConstr[[#This Row],[Far]],-12,0),0)+OFFSET(TblConstr[[#This Row],[Tot Farm]],-1,0)-TblConstr[[#This Row],[Dest Farm]]</f>
        <v>30</v>
      </c>
      <c r="BB52" s="203" cm="1">
        <f t="array" aca="1" ref="BB52" ca="1">IF(TblConstr[[#This Row],[Hour]:[Hour]]&gt;12,OFFSET(TblConstr[[#This Row],[Smi]],-12,0),0)+OFFSET(TblConstr[[#This Row],[Tot Smi]],-1,0)-TblConstr[[#This Row],[Dest Smi]]</f>
        <v>0</v>
      </c>
      <c r="BC52" s="203" cm="1">
        <f t="array" aca="1" ref="BC52" ca="1">IF(TblConstr[[#This Row],[Hour]:[Hour]]&gt;12,OFFSET(TblConstr[[#This Row],[Mas]],-12,0),0)+OFFSET(TblConstr[[#This Row],[Tot Mas]],-1,0)-TblConstr[[#This Row],[Dest Mas]]</f>
        <v>0</v>
      </c>
      <c r="BD52" s="204" cm="1">
        <f t="array" aca="1" ref="BD52" ca="1">IF(TblConstr[[#This Row],[Hour]:[Hour]]&gt;12,OFFSET(TblConstr[[#This Row],[Ly]],-12,0),0)+OFFSET(TblConstr[[#This Row],[Tot Ly]],-1,0)-TblConstr[[#This Row],[Dest Ly]]</f>
        <v>20</v>
      </c>
      <c r="BE52" s="204" cm="1">
        <f t="array" aca="1" ref="BE52" ca="1">IF(TblConstr[[#This Row],[Hour]:[Hour]]&gt;12,OFFSET(TblConstr[[#This Row],[Hav]],-12,0),0)+OFFSET(TblConstr[[#This Row],[Tot Hav]],-1,0)-TblConstr[[#This Row],[Dest Hav]]</f>
        <v>0</v>
      </c>
      <c r="BF52" s="362" cm="1">
        <f t="array" aca="1" ref="BF52" ca="1">IF(TblConstr[[#This Row],[Hour]:[Hour]]&gt;12,OFFSET(TblConstr[[#This Row],[OM]],-12,0),0)+OFFSET(TblConstr[[#This Row],[Tot OM]],-1,0)-TblConstr[[#This Row],[Dest OM]]</f>
        <v>0</v>
      </c>
      <c r="BG52" s="362" cm="1">
        <f t="array" aca="1" ref="BG52" ca="1">IF(TblConstr[[#This Row],[Hour]:[Hour]]&gt;12,OFFSET(TblConstr[[#This Row],[GN]],-12,0),0)+OFFSET(TblConstr[[#This Row],[Tot GN]],-1,0)-TblConstr[[#This Row],[Dest GN]]</f>
        <v>0</v>
      </c>
      <c r="BH52" s="366" cm="1">
        <f t="array" aca="1" ref="BH52" ca="1">IF(TblConstr[[#This Row],[Hour]:[Hour]]&gt;12,OFFSET(TblConstr[[#This Row],[Fac]],-12,0),0)+OFFSET(TblConstr[[#This Row],[Tot Fac]],-1,0)-TblConstr[[#This Row],[Dest Fac]]</f>
        <v>0</v>
      </c>
      <c r="BI52" s="366" cm="1">
        <f t="array" aca="1" ref="BI52" ca="1">IF(TblConstr[[#This Row],[Hour]:[Hour]]&gt;12,OFFSET(TblConstr[[#This Row],[GT]],-12,0),0)+OFFSET(TblConstr[[#This Row],[Tot GT]],-1,0)-TblConstr[[#This Row],[Dest GT]]</f>
        <v>0</v>
      </c>
      <c r="BJ52" s="366" cm="1">
        <f t="array" aca="1" ref="BJ52" ca="1">IF(TblConstr[[#This Row],[Hour]:[Hour]]&gt;12,OFFSET(TblConstr[[#This Row],[Bar]],-12,0),0)+OFFSET(TblConstr[[#This Row],[Tot Bar]],-1,0)-TblConstr[[#This Row],[Dest Bar]]</f>
        <v>0</v>
      </c>
      <c r="BK52" s="366" cm="1">
        <f t="array" aca="1" ref="BK52" ca="1">IF(TblConstr[[#This Row],[Hour]:[Hour]]&gt;12,OFFSET(TblConstr[[#This Row],[Shr]],-12,0),0)+OFFSET(TblConstr[[#This Row],[Tot Shr]],-1,0)-TblConstr[[#This Row],[Dest Shr]]</f>
        <v>0</v>
      </c>
      <c r="BL52" s="370" cm="1">
        <f t="array" aca="1" ref="BL52" ca="1">IF(TblConstr[[#This Row],[Hour]:[Hour]]&gt;12,OFFSET(TblConstr[[#This Row],[Tow]],-12,0),0)+OFFSET(TblConstr[[#This Row],[Tot Tow]],-1,0)-TblConstr[[#This Row],[Dest Tow]]</f>
        <v>0</v>
      </c>
      <c r="BM52" s="370" cm="1">
        <f t="array" aca="1" ref="BM52" ca="1">IF(TblConstr[[#This Row],[Hour]:[Hour]]&gt;12,OFFSET(TblConstr[[#This Row],[Tem]],-12,0),0)+OFFSET(TblConstr[[#This Row],[Tot Tem]],-1,0)-TblConstr[[#This Row],[Dest Tem]]</f>
        <v>0</v>
      </c>
      <c r="BN52" s="370" cm="1">
        <f t="array" aca="1" ref="BN52" ca="1">IF(TblConstr[[#This Row],[Hour]:[Hour]]&gt;12,OFFSET(TblConstr[[#This Row],[WG]],-12,0),0)+OFFSET(TblConstr[[#This Row],[Tot WG]],-1,0)-TblConstr[[#This Row],[Dest WG]]</f>
        <v>0</v>
      </c>
      <c r="BO52" s="205" cm="1">
        <f t="array" aca="1" ref="BO52" ca="1">IF(TblConstr[[#This Row],[Hour]:[Hour]]&gt;12,OFFSET(TblConstr[[#This Row],[DM]],-12,0),0)+OFFSET(TblConstr[[#This Row],[Tot DM]],-1,0)-TblConstr[[#This Row],[Dest DM]]</f>
        <v>0</v>
      </c>
      <c r="BP52" s="205" cm="1">
        <f t="array" aca="1" ref="BP52" ca="1">IF(TblConstr[[#This Row],[Hour]:[Hour]]&gt;12,OFFSET(TblConstr[[#This Row],[Sch]],-12,0),0)+OFFSET(TblConstr[[#This Row],[Tot Sch]],-1,0)-TblConstr[[#This Row],[Dest Sch]]</f>
        <v>0</v>
      </c>
      <c r="BQ52" s="206" cm="1">
        <f t="array" aca="1" ref="BQ52" ca="1">IF(TblConstr[[#This Row],[Hour]:[Hour]]&gt;12,OFFSET(TblConstr[[#This Row],[Doc]],-12,0),0)+OFFSET(TblConstr[[#This Row],[Tot Doc]],-1,0)-TblConstr[[#This Row],[Dest Doc]]</f>
        <v>0</v>
      </c>
      <c r="BR52" s="149"/>
      <c r="BS52" s="162"/>
      <c r="BT52" s="35">
        <f ca="1">TblConstr[[#This Row],[Land]]</f>
        <v>50</v>
      </c>
      <c r="BU52" s="167">
        <f ca="1">TblImps[[#This Row],[Time]]</f>
        <v>45816.999999999884</v>
      </c>
      <c r="BV52" s="149"/>
      <c r="BW52" s="201"/>
      <c r="BX52" s="201"/>
      <c r="BY52" s="201"/>
      <c r="BZ52" s="201"/>
      <c r="CA52" s="201"/>
      <c r="CB52" s="201"/>
      <c r="CC52" s="201"/>
      <c r="CD52" s="201"/>
      <c r="CE52" s="201"/>
      <c r="CF52" s="201"/>
      <c r="CG52" s="201"/>
      <c r="CH52" s="201"/>
      <c r="CI52" s="201"/>
      <c r="CJ52" s="201"/>
      <c r="CK52" s="201"/>
      <c r="CL52" s="201"/>
      <c r="CM52" s="201"/>
      <c r="CN52" s="201"/>
      <c r="CO52" s="201"/>
      <c r="CP52" s="149"/>
      <c r="CQ52" s="207">
        <f ca="1">-SUM(TblConstr[[#This Row],[Alc]:[Mas]])+SUM(TblConstr[[#This Row],[Dest Alc]:[Dest Mas]])+Rezone!L52+IF("Ch_"&amp; home_land=TblConstr[[#Headers],[Ch_Plain]],TblConstr[[#This Row],[Home Land]])+IF(TblConstr[[#This Row],[Hour]:[Hour]]&gt;12,OFFSET(TblExplore[[#This Row],[Plains Explore]],-12,0),0)</f>
        <v>0</v>
      </c>
      <c r="CR52" s="196">
        <f ca="1">-SUM(TblConstr[[#This Row],[Ly]:[Hav]])+SUM(TblConstr[[#This Row],[Dest Ly]:[Dest Hav]]) +Rezone!M52 + IF("Ch_"&amp; home_land=TblConstr[[#Headers],[Ch_Forest]],TblConstr[[#This Row],[Home Land]])+IF(TblConstr[[#This Row],[Hour]:[Hour]]&gt;12,OFFSET(TblExplore[[#This Row],[Forest Explore]],-12,0),0)</f>
        <v>0</v>
      </c>
      <c r="CS52" s="360">
        <f ca="1">-SUM(TblConstr[[#This Row],[OM]:[GN]])+SUM(TblConstr[[#This Row],[Dest OM]:[Dest GN]]) +Rezone!N52 + IF("Ch_"&amp; home_land=TblConstr[[#Headers],[Ch_Mountain]],TblConstr[[#This Row],[Home Land]])+IF(TblConstr[[#This Row],[Hour]:[Hour]]&gt;12,OFFSET(TblExplore[[#This Row],[Mountain Explore]],-12,0),0)</f>
        <v>0</v>
      </c>
      <c r="CT52" s="197">
        <f ca="1">-SUM(TblConstr[[#This Row],[Fac]:[Shr]])+SUM(TblConstr[[#This Row],[Dest Fac]:[Dest Shr]]) +Rezone!O52 + IF("Ch_" &amp; home_land=TblConstr[[#Headers],[Ch_Hill]],TblConstr[[#This Row],[Home Land]])+IF(TblConstr[[#This Row],[Hour]:[Hour]]&gt;12,OFFSET(TblExplore[[#This Row],[Hill Explore]],-12,0),0)</f>
        <v>0</v>
      </c>
      <c r="CU52" s="198">
        <f ca="1">-SUM(TblConstr[[#This Row],[Tow]:[WG]])+SUM(TblConstr[[#This Row],[Dest Tow]:[Dest WG]]) +Rezone!P52 + IF("Ch_" &amp; home_land=TblConstr[[#Headers],[Ch_Swamp]],TblConstr[[#This Row],[Home Land]])+IF(TblConstr[[#This Row],[Hour]:[Hour]]&gt;12,OFFSET(TblExplore[[#This Row],[Swamp Explore]],-12,0),0)</f>
        <v>0</v>
      </c>
      <c r="CV52" s="199">
        <f ca="1" xml:space="preserve"> - SUM(TblConstr[[#This Row],[DM]:[Sch]])+SUM(TblConstr[[#This Row],[Dest DM]:[Dest Sch]]) +Rezone!Q52 + IF("Ch_" &amp; home_land=TblConstr[[#Headers],[Ch_Cavern]],TblConstr[[#This Row],[Home Land]])+IF(TblConstr[[#This Row],[Hour]:[Hour]]&gt;12,OFFSET(TblExplore[[#This Row],[Cavern Explore]],-12,0),0)</f>
        <v>0</v>
      </c>
      <c r="CW52" s="200">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49"/>
      <c r="CZ52" s="35">
        <f t="shared" ca="1" si="12"/>
        <v>30</v>
      </c>
      <c r="DA52" s="35">
        <f t="shared" ca="1" si="13"/>
        <v>20</v>
      </c>
      <c r="DB52" s="5">
        <f t="shared" ca="1" si="14"/>
        <v>0</v>
      </c>
      <c r="DC52" s="35">
        <f t="shared" ca="1" si="15"/>
        <v>0</v>
      </c>
      <c r="DD52" s="35">
        <f t="shared" ca="1" si="16"/>
        <v>0</v>
      </c>
      <c r="DE52" s="5">
        <f t="shared" ca="1" si="17"/>
        <v>0</v>
      </c>
      <c r="DF52" s="35">
        <f t="shared" ca="1" si="18"/>
        <v>0</v>
      </c>
      <c r="DG52" s="35" cm="1">
        <f t="array" aca="1" ref="DG52" ca="1">INDEX(TblConstr[[Total Plain]:[Total Water]],ROW()-ROW(TblConstr[#Headers]),MATCH("Total "&amp;home_land,TblConstr[[#Headers],[Total Plain]:[Total Water]],0))+TblConstr[[#This Row],[Homes]]</f>
        <v>30</v>
      </c>
      <c r="DH52" s="5">
        <f t="shared" ca="1" si="10"/>
        <v>0</v>
      </c>
      <c r="DI52" s="5">
        <f t="shared" ca="1" si="0"/>
        <v>0</v>
      </c>
      <c r="DJ52" s="5">
        <f t="shared" ca="1" si="1"/>
        <v>0</v>
      </c>
    </row>
    <row r="53" spans="1:114" x14ac:dyDescent="0.2">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45817.041666666548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169335</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45817.041666666548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x14ac:dyDescent="0.2">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45817.083333333212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170115</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45817.083333333212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x14ac:dyDescent="0.2">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45817.124999999876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170887</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45817.124999999876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x14ac:dyDescent="0.2">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45817.166666666541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171651</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45817.166666666541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x14ac:dyDescent="0.2">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45817.208333333205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172407</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45817.208333333205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x14ac:dyDescent="0.2">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45817.249999999869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173154</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45817.249999999869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x14ac:dyDescent="0.2">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45817.291666666533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173893</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45817.291666666533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x14ac:dyDescent="0.2">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45817.333333333198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174624</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45817.333333333198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x14ac:dyDescent="0.2">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45817.374999999862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175347</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45817.374999999862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x14ac:dyDescent="0.2">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45817.416666666526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176062</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45817.416666666526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x14ac:dyDescent="0.2">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45817.45833333319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176769</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45817.45833333319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x14ac:dyDescent="0.2">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45817.499999999854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177468</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45817.499999999854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x14ac:dyDescent="0.2">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45817.541666666519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178159</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45817.541666666519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x14ac:dyDescent="0.2">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45817.583333333183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178842</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45817.583333333183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x14ac:dyDescent="0.2">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45817.624999999847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179517</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45817.624999999847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x14ac:dyDescent="0.2">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45817.666666666511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180183</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45817.666666666511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x14ac:dyDescent="0.2">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45817.708333333176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180844</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45817.708333333176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x14ac:dyDescent="0.2">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45817.74999999984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181500</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45817.74999999984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45817.791666666504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182150</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45817.791666666504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x14ac:dyDescent="0.2">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45817.833333333168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182795</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45817.833333333168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x14ac:dyDescent="0.2">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45817.874999999833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183434</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45817.874999999833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x14ac:dyDescent="0.2">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45817.916666666497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184068</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45817.916666666497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x14ac:dyDescent="0.2">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45817.958333333161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184697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45817.958333333161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x14ac:dyDescent="0.2">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45817.999999999825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185320</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45817.999999999825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x14ac:dyDescent="0.2">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45818.04166666649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185938</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45818.04166666649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x14ac:dyDescent="0.2">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45818.083333333154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186550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45818.083333333154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x14ac:dyDescent="0.2">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45818.124999999818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187157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45818.124999999818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x14ac:dyDescent="0.2">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45818.166666666482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187759</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45818.166666666482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x14ac:dyDescent="0.2">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45818.208333333147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188355</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45818.208333333147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x14ac:dyDescent="0.2">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45818.249999999811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188946</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45818.249999999811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x14ac:dyDescent="0.2">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45818.291666666475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189531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45818.291666666475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x14ac:dyDescent="0.2">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45818.333333333139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190111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45818.333333333139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x14ac:dyDescent="0.2">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45818.374999999804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190686</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45818.374999999804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x14ac:dyDescent="0.2">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45818.416666666468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191255</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45818.416666666468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x14ac:dyDescent="0.2">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45818.458333333132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191819</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45818.458333333132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x14ac:dyDescent="0.2">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45818.499999999796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192377</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45818.499999999796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x14ac:dyDescent="0.2">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45818.541666666461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192930</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45818.541666666461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x14ac:dyDescent="0.2">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45818.583333333125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193478</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45818.583333333125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x14ac:dyDescent="0.2">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45818.624999999789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194020</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45818.624999999789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x14ac:dyDescent="0.2">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45818.666666666453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194557</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45818.666666666453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x14ac:dyDescent="0.2">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45818.708333333117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195088</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45818.708333333117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x14ac:dyDescent="0.2">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45818.749999999782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195614</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45818.749999999782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x14ac:dyDescent="0.2">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45818.791666666446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196135</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45818.791666666446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x14ac:dyDescent="0.2">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45818.83333333311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196650</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45818.83333333311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x14ac:dyDescent="0.2">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45818.874999999774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197160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45818.874999999774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x14ac:dyDescent="0.2">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45818.916666666439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197664</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45818.916666666439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x14ac:dyDescent="0.2">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45818.958333333103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198163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45818.958333333103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x14ac:dyDescent="0.2">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45818.999999999767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198657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45818.999999999767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x14ac:dyDescent="0.2">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45819.041666666431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199145</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45819.041666666431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x14ac:dyDescent="0.2">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45819.083333333096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199628</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45819.083333333096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x14ac:dyDescent="0.2">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45819.12499999976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200105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45819.12499999976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x14ac:dyDescent="0.2">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45819.166666666424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200577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45819.166666666424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x14ac:dyDescent="0.2">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45819.208333333088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201044</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45819.208333333088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x14ac:dyDescent="0.2">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45819.249999999753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201505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45819.249999999753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x14ac:dyDescent="0.2">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45819.291666666417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201961</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45819.291666666417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x14ac:dyDescent="0.2">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45819.333333333081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202411</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45819.333333333081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x14ac:dyDescent="0.2">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45819.374999999745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202856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45819.374999999745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x14ac:dyDescent="0.2">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45819.41666666641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203296</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45819.41666666641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x14ac:dyDescent="0.2">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45819.458333333074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203730</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45819.458333333074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x14ac:dyDescent="0.2">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45819.499999999738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204159</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45819.499999999738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x14ac:dyDescent="0.2">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45819.541666666402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204582</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45819.541666666402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x14ac:dyDescent="0.2">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45819.583333333067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205000</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45819.583333333067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x14ac:dyDescent="0.2">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45819.624999999731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205413</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45819.624999999731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x14ac:dyDescent="0.2">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45819.666666666395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205820</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45819.666666666395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x14ac:dyDescent="0.2">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45819.708333333059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206222</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45819.708333333059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x14ac:dyDescent="0.2">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45819.749999999724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206621</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45819.749999999724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x14ac:dyDescent="0.2">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45819.791666666388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207017</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45819.791666666388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x14ac:dyDescent="0.2">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45819.833333333052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207411</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45819.833333333052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x14ac:dyDescent="0.2">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45819.874999999716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207802</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45819.874999999716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x14ac:dyDescent="0.2">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45819.91666666638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208190</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45819.91666666638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x14ac:dyDescent="0.2">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45819.958333333045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208576</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45819.958333333045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x14ac:dyDescent="0.2">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45819.999999999709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208959</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45819.999999999709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x14ac:dyDescent="0.2">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45820.041666666373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209339</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45820.041666666373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x14ac:dyDescent="0.2">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45820.083333333037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209717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45820.083333333037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x14ac:dyDescent="0.2">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45820.124999999702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210092</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45820.124999999702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x14ac:dyDescent="0.2">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45820.166666666366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210464</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45820.166666666366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x14ac:dyDescent="0.2">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45820.20833333303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210833</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45820.20833333303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x14ac:dyDescent="0.2">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45820.249999999694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211200</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45820.249999999694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x14ac:dyDescent="0.2">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45820.291666666359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211564</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45820.291666666359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x14ac:dyDescent="0.2">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45820.333333333023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211925</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45820.333333333023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x14ac:dyDescent="0.2">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45820.374999999687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212284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45820.374999999687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x14ac:dyDescent="0.2">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45820.416666666351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212640</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45820.416666666351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x14ac:dyDescent="0.2">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45820.458333333016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212993</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45820.458333333016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x14ac:dyDescent="0.2">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45820.49999999968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213344</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45820.49999999968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x14ac:dyDescent="0.2">
      <c r="A1269" s="531" t="s">
        <v>314</v>
      </c>
      <c r="B1269" s="48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$A4=49</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$A36=49</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$A36=49</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BD4 BA4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5" t="s">
        <v>299</v>
      </c>
      <c r="M1" s="487"/>
      <c r="N1" s="487"/>
      <c r="O1" s="487"/>
      <c r="P1" s="487"/>
      <c r="Q1" s="487"/>
      <c r="R1" s="28"/>
      <c r="S1" s="5" t="s">
        <v>353</v>
      </c>
      <c r="T1" s="5" t="s">
        <v>175</v>
      </c>
      <c r="AB1" s="534" t="s">
        <v>77</v>
      </c>
      <c r="AC1" s="534"/>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1</v>
      </c>
      <c r="Q4" s="175">
        <f ca="1">TblExplore[[#This Row],[Land]]</f>
        <v>50</v>
      </c>
      <c r="R4" s="175">
        <f>TblExplore[[#This Row],[Hour]]</f>
        <v>1</v>
      </c>
      <c r="S4" s="218"/>
      <c r="T4" s="179"/>
      <c r="U4" s="179"/>
      <c r="V4" s="179"/>
      <c r="W4" s="179"/>
      <c r="X4" s="179"/>
      <c r="Y4" s="179"/>
      <c r="Z4" s="179"/>
      <c r="AA4" s="159">
        <f>TblImps[[#This Row],[Real time]]</f>
        <v>45815</v>
      </c>
      <c r="AB4" s="94">
        <f ca="1">TblMili[[#This Row],[Draftees]]</f>
        <v>300</v>
      </c>
      <c r="AC4" s="94">
        <f ca="1">TblProd[[#This Row],[Platinum]]</f>
        <v>120000</v>
      </c>
      <c r="AD4" s="215"/>
      <c r="AE4" s="45">
        <f ca="1">TblExplore[[#This Row],[Land]]-TblExplore[[#This Row],[Land Bonus]]*20</f>
        <v>50</v>
      </c>
      <c r="AF4" s="94">
        <f ca="1">ROUND(MAX(0.6*TblExplore[[#This Row],[Land-DB]]^1.299,850)*(1+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100</v>
      </c>
    </row>
    <row r="5" spans="1:36"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1</v>
      </c>
      <c r="Q5" s="175">
        <f ca="1">TblExplore[[#This Row],[Land]]</f>
        <v>50</v>
      </c>
      <c r="R5" s="175">
        <f>TblExplore[[#This Row],[Hour]]</f>
        <v>2</v>
      </c>
      <c r="S5" s="218"/>
      <c r="T5" s="179"/>
      <c r="U5" s="179"/>
      <c r="V5" s="179"/>
      <c r="W5" s="179"/>
      <c r="X5" s="179"/>
      <c r="Y5" s="179"/>
      <c r="Z5" s="179"/>
      <c r="AA5" s="159">
        <f ca="1">TblImps[[#This Row],[Real time]]</f>
        <v>45815.041666666664</v>
      </c>
      <c r="AB5" s="94">
        <f ca="1">TblMili[[#This Row],[Draftees]]</f>
        <v>305</v>
      </c>
      <c r="AC5" s="94">
        <f ca="1">TblProd[[#This Row],[Platinum]]</f>
        <v>121266</v>
      </c>
      <c r="AD5" s="215"/>
      <c r="AE5" s="45">
        <f ca="1">TblExplore[[#This Row],[Land]]-TblExplore[[#This Row],[Land Bonus]]*20</f>
        <v>50</v>
      </c>
      <c r="AF5" s="94">
        <f ca="1">ROUND(MAX(0.6*TblExplore[[#This Row],[Land-DB]]^1.299,850)*(1+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101</v>
      </c>
    </row>
    <row r="6" spans="1:36"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1</v>
      </c>
      <c r="Q6" s="175">
        <f ca="1">TblExplore[[#This Row],[Land]]</f>
        <v>50</v>
      </c>
      <c r="R6" s="175">
        <f>TblExplore[[#This Row],[Hour]]</f>
        <v>3</v>
      </c>
      <c r="S6" s="218"/>
      <c r="T6" s="179"/>
      <c r="U6" s="179"/>
      <c r="V6" s="179"/>
      <c r="W6" s="179"/>
      <c r="X6" s="179"/>
      <c r="Y6" s="179"/>
      <c r="Z6" s="179"/>
      <c r="AA6" s="159">
        <f ca="1">TblImps[[#This Row],[Real time]]</f>
        <v>45815.083333333328</v>
      </c>
      <c r="AB6" s="94">
        <f ca="1">TblMili[[#This Row],[Draftees]]</f>
        <v>310</v>
      </c>
      <c r="AC6" s="94">
        <f ca="1">TblProd[[#This Row],[Platinum]]</f>
        <v>122518</v>
      </c>
      <c r="AD6" s="215"/>
      <c r="AE6" s="45">
        <f ca="1">TblExplore[[#This Row],[Land]]-TblExplore[[#This Row],[Land Bonus]]*20</f>
        <v>50</v>
      </c>
      <c r="AF6" s="94">
        <f ca="1">ROUND(MAX(0.6*TblExplore[[#This Row],[Land-DB]]^1.299,850)*(1+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103</v>
      </c>
    </row>
    <row r="7" spans="1:36"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1</v>
      </c>
      <c r="Q7" s="175">
        <f ca="1">TblExplore[[#This Row],[Land]]</f>
        <v>50</v>
      </c>
      <c r="R7" s="175">
        <f>TblExplore[[#This Row],[Hour]]</f>
        <v>4</v>
      </c>
      <c r="S7" s="218"/>
      <c r="T7" s="158"/>
      <c r="U7" s="179"/>
      <c r="V7" s="179"/>
      <c r="W7" s="179"/>
      <c r="X7" s="179"/>
      <c r="Y7" s="179"/>
      <c r="Z7" s="179"/>
      <c r="AA7" s="159">
        <f ca="1">TblImps[[#This Row],[Real time]]</f>
        <v>45815.124999999993</v>
      </c>
      <c r="AB7" s="94">
        <f ca="1">TblMili[[#This Row],[Draftees]]</f>
        <v>315</v>
      </c>
      <c r="AC7" s="94">
        <f ca="1">TblProd[[#This Row],[Platinum]]</f>
        <v>123757</v>
      </c>
      <c r="AD7" s="215"/>
      <c r="AE7" s="45">
        <f ca="1">TblExplore[[#This Row],[Land]]-TblExplore[[#This Row],[Land Bonus]]*20</f>
        <v>50</v>
      </c>
      <c r="AF7" s="94">
        <f ca="1">ROUND(MAX(0.6*TblExplore[[#This Row],[Land-DB]]^1.299,850)*(1+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105</v>
      </c>
    </row>
    <row r="8" spans="1:36"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1</v>
      </c>
      <c r="Q8" s="175">
        <f ca="1">TblExplore[[#This Row],[Land]]</f>
        <v>50</v>
      </c>
      <c r="R8" s="175">
        <f>TblExplore[[#This Row],[Hour]]</f>
        <v>5</v>
      </c>
      <c r="S8" s="218"/>
      <c r="T8" s="158"/>
      <c r="U8" s="179"/>
      <c r="V8" s="179"/>
      <c r="W8" s="179"/>
      <c r="X8" s="179"/>
      <c r="Y8" s="179"/>
      <c r="Z8" s="179"/>
      <c r="AA8" s="159">
        <f ca="1">TblImps[[#This Row],[Real time]]</f>
        <v>45815.166666666657</v>
      </c>
      <c r="AB8" s="94">
        <f ca="1">TblMili[[#This Row],[Draftees]]</f>
        <v>320</v>
      </c>
      <c r="AC8" s="94">
        <f ca="1">TblProd[[#This Row],[Platinum]]</f>
        <v>124982</v>
      </c>
      <c r="AD8" s="215"/>
      <c r="AE8" s="45">
        <f ca="1">TblExplore[[#This Row],[Land]]-TblExplore[[#This Row],[Land Bonus]]*20</f>
        <v>50</v>
      </c>
      <c r="AF8" s="94">
        <f ca="1">ROUND(MAX(0.6*TblExplore[[#This Row],[Land-DB]]^1.299,850)*(1+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106</v>
      </c>
    </row>
    <row r="9" spans="1:36"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1</v>
      </c>
      <c r="Q9" s="175">
        <f ca="1">TblExplore[[#This Row],[Land]]</f>
        <v>50</v>
      </c>
      <c r="R9" s="175">
        <f>TblExplore[[#This Row],[Hour]]</f>
        <v>6</v>
      </c>
      <c r="S9" s="218"/>
      <c r="T9" s="179"/>
      <c r="U9" s="179"/>
      <c r="V9" s="179"/>
      <c r="W9" s="179"/>
      <c r="X9" s="179"/>
      <c r="Y9" s="179"/>
      <c r="Z9" s="179"/>
      <c r="AA9" s="159">
        <f ca="1">TblImps[[#This Row],[Real time]]</f>
        <v>45815.208333333321</v>
      </c>
      <c r="AB9" s="94">
        <f ca="1">TblMili[[#This Row],[Draftees]]</f>
        <v>324</v>
      </c>
      <c r="AC9" s="94">
        <f ca="1">TblProd[[#This Row],[Platinum]]</f>
        <v>126194</v>
      </c>
      <c r="AD9" s="215"/>
      <c r="AE9" s="45">
        <f ca="1">TblExplore[[#This Row],[Land]]-TblExplore[[#This Row],[Land Bonus]]*20</f>
        <v>50</v>
      </c>
      <c r="AF9" s="94">
        <f ca="1">ROUND(MAX(0.6*TblExplore[[#This Row],[Land-DB]]^1.299,850)*(1+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108</v>
      </c>
    </row>
    <row r="10" spans="1:36"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1</v>
      </c>
      <c r="Q10" s="175">
        <f ca="1">TblExplore[[#This Row],[Land]]</f>
        <v>50</v>
      </c>
      <c r="R10" s="175">
        <f>TblExplore[[#This Row],[Hour]]</f>
        <v>7</v>
      </c>
      <c r="S10" s="218"/>
      <c r="T10" s="179"/>
      <c r="U10" s="179"/>
      <c r="V10" s="179"/>
      <c r="W10" s="179"/>
      <c r="X10" s="179"/>
      <c r="Y10" s="179"/>
      <c r="Z10" s="179"/>
      <c r="AA10" s="159">
        <f ca="1">TblImps[[#This Row],[Real time]]</f>
        <v>45815.249999999985</v>
      </c>
      <c r="AB10" s="94">
        <f ca="1">TblMili[[#This Row],[Draftees]]</f>
        <v>328</v>
      </c>
      <c r="AC10" s="94">
        <f ca="1">TblProd[[#This Row],[Platinum]]</f>
        <v>127395</v>
      </c>
      <c r="AD10" s="215"/>
      <c r="AE10" s="45">
        <f ca="1">TblExplore[[#This Row],[Land]]-TblExplore[[#This Row],[Land Bonus]]*20</f>
        <v>50</v>
      </c>
      <c r="AF10" s="94">
        <f ca="1">ROUND(MAX(0.6*TblExplore[[#This Row],[Land-DB]]^1.299,850)*(1+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109</v>
      </c>
    </row>
    <row r="11" spans="1:36"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1</v>
      </c>
      <c r="Q11" s="175">
        <f ca="1">TblExplore[[#This Row],[Land]]</f>
        <v>50</v>
      </c>
      <c r="R11" s="175">
        <f>TblExplore[[#This Row],[Hour]]</f>
        <v>8</v>
      </c>
      <c r="S11" s="218"/>
      <c r="T11" s="179"/>
      <c r="U11" s="179"/>
      <c r="V11" s="179"/>
      <c r="W11" s="179"/>
      <c r="X11" s="179"/>
      <c r="Y11" s="179"/>
      <c r="Z11" s="179"/>
      <c r="AA11" s="159">
        <f ca="1">TblImps[[#This Row],[Real time]]</f>
        <v>45815.29166666665</v>
      </c>
      <c r="AB11" s="94">
        <f ca="1">TblMili[[#This Row],[Draftees]]</f>
        <v>332</v>
      </c>
      <c r="AC11" s="94">
        <f ca="1">TblProd[[#This Row],[Platinum]]</f>
        <v>128585</v>
      </c>
      <c r="AD11" s="215"/>
      <c r="AE11" s="45">
        <f ca="1">TblExplore[[#This Row],[Land]]-TblExplore[[#This Row],[Land Bonus]]*20</f>
        <v>50</v>
      </c>
      <c r="AF11" s="94">
        <f ca="1">ROUND(MAX(0.6*TblExplore[[#This Row],[Land-DB]]^1.299,850)*(1+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110</v>
      </c>
    </row>
    <row r="12" spans="1:36"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1</v>
      </c>
      <c r="Q12" s="175">
        <f ca="1">TblExplore[[#This Row],[Land]]</f>
        <v>50</v>
      </c>
      <c r="R12" s="175">
        <f>TblExplore[[#This Row],[Hour]]</f>
        <v>9</v>
      </c>
      <c r="S12" s="218"/>
      <c r="T12" s="179"/>
      <c r="U12" s="179"/>
      <c r="V12" s="179"/>
      <c r="W12" s="179"/>
      <c r="X12" s="179"/>
      <c r="Y12" s="179"/>
      <c r="Z12" s="179"/>
      <c r="AA12" s="159">
        <f ca="1">TblImps[[#This Row],[Real time]]</f>
        <v>45815.333333333314</v>
      </c>
      <c r="AB12" s="94">
        <f ca="1">TblMili[[#This Row],[Draftees]]</f>
        <v>336</v>
      </c>
      <c r="AC12" s="94">
        <f ca="1">TblProd[[#This Row],[Platinum]]</f>
        <v>129764</v>
      </c>
      <c r="AD12" s="215"/>
      <c r="AE12" s="45">
        <f ca="1">TblExplore[[#This Row],[Land]]-TblExplore[[#This Row],[Land Bonus]]*20</f>
        <v>50</v>
      </c>
      <c r="AF12" s="94">
        <f ca="1">ROUND(MAX(0.6*TblExplore[[#This Row],[Land-DB]]^1.299,850)*(1+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112</v>
      </c>
    </row>
    <row r="13" spans="1:36"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1</v>
      </c>
      <c r="Q13" s="175">
        <f ca="1">TblExplore[[#This Row],[Land]]</f>
        <v>50</v>
      </c>
      <c r="R13" s="175">
        <f>TblExplore[[#This Row],[Hour]]</f>
        <v>10</v>
      </c>
      <c r="S13" s="218"/>
      <c r="T13" s="179"/>
      <c r="U13" s="179"/>
      <c r="V13" s="179"/>
      <c r="W13" s="179"/>
      <c r="X13" s="179"/>
      <c r="Y13" s="179"/>
      <c r="Z13" s="179"/>
      <c r="AA13" s="159">
        <f ca="1">TblImps[[#This Row],[Real time]]</f>
        <v>45815.374999999978</v>
      </c>
      <c r="AB13" s="94">
        <f ca="1">TblMili[[#This Row],[Draftees]]</f>
        <v>340</v>
      </c>
      <c r="AC13" s="94">
        <f ca="1">TblProd[[#This Row],[Platinum]]</f>
        <v>130933</v>
      </c>
      <c r="AD13" s="215"/>
      <c r="AE13" s="45">
        <f ca="1">TblExplore[[#This Row],[Land]]-TblExplore[[#This Row],[Land Bonus]]*20</f>
        <v>50</v>
      </c>
      <c r="AF13" s="94">
        <f ca="1">ROUND(MAX(0.6*TblExplore[[#This Row],[Land-DB]]^1.299,850)*(1+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113</v>
      </c>
    </row>
    <row r="14" spans="1:36"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218"/>
      <c r="T14" s="179"/>
      <c r="U14" s="179"/>
      <c r="V14" s="179"/>
      <c r="W14" s="179"/>
      <c r="X14" s="179"/>
      <c r="Y14" s="179"/>
      <c r="Z14" s="179"/>
      <c r="AA14" s="159">
        <f ca="1">TblImps[[#This Row],[Real time]]</f>
        <v>45815.416666666642</v>
      </c>
      <c r="AB14" s="94">
        <f ca="1">TblMili[[#This Row],[Draftees]]</f>
        <v>344</v>
      </c>
      <c r="AC14" s="94">
        <f ca="1">TblProd[[#This Row],[Platinum]]</f>
        <v>132091</v>
      </c>
      <c r="AD14" s="215"/>
      <c r="AE14" s="45">
        <f ca="1">TblExplore[[#This Row],[Land]]-TblExplore[[#This Row],[Land Bonus]]*20</f>
        <v>50</v>
      </c>
      <c r="AF14" s="94">
        <f ca="1">ROUND(MAX(0.6*TblExplore[[#This Row],[Land-DB]]^1.299,850)*(1+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114</v>
      </c>
    </row>
    <row r="15" spans="1:36"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218"/>
      <c r="T15" s="158"/>
      <c r="U15" s="179"/>
      <c r="V15" s="179"/>
      <c r="W15" s="179"/>
      <c r="X15" s="179"/>
      <c r="Y15" s="179"/>
      <c r="Z15" s="179"/>
      <c r="AA15" s="159">
        <f ca="1">TblImps[[#This Row],[Real time]]</f>
        <v>45815.458333333307</v>
      </c>
      <c r="AB15" s="94">
        <f ca="1">TblMili[[#This Row],[Draftees]]</f>
        <v>348</v>
      </c>
      <c r="AC15" s="94">
        <f ca="1">TblProd[[#This Row],[Platinum]]</f>
        <v>133238</v>
      </c>
      <c r="AD15" s="215"/>
      <c r="AE15" s="45">
        <f ca="1">TblExplore[[#This Row],[Land]]-TblExplore[[#This Row],[Land Bonus]]*20</f>
        <v>50</v>
      </c>
      <c r="AF15" s="94">
        <f ca="1">ROUND(MAX(0.6*TblExplore[[#This Row],[Land-DB]]^1.299,850)*(1+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116</v>
      </c>
    </row>
    <row r="16" spans="1:36" x14ac:dyDescent="0.2">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45815.499999999971</v>
      </c>
      <c r="AB16" s="94">
        <f ca="1">TblMili[[#This Row],[Draftees]]</f>
        <v>352</v>
      </c>
      <c r="AC16" s="94">
        <f ca="1">TblProd[[#This Row],[Platinum]]</f>
        <v>134374</v>
      </c>
      <c r="AD16" s="215"/>
      <c r="AE16" s="45">
        <f ca="1">TblExplore[[#This Row],[Land]]-TblExplore[[#This Row],[Land Bonus]]*20</f>
        <v>50</v>
      </c>
      <c r="AF16" s="94">
        <f ca="1">ROUND(MAX(0.6*TblExplore[[#This Row],[Land-DB]]^1.299,850)*(1+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117</v>
      </c>
    </row>
    <row r="17" spans="1:36" x14ac:dyDescent="0.2">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218"/>
      <c r="T17" s="179"/>
      <c r="U17" s="179"/>
      <c r="V17" s="179"/>
      <c r="W17" s="179"/>
      <c r="X17" s="179"/>
      <c r="Y17" s="179"/>
      <c r="Z17" s="179"/>
      <c r="AA17" s="159">
        <f ca="1">TblImps[[#This Row],[Real time]]</f>
        <v>45815.541666666635</v>
      </c>
      <c r="AB17" s="94">
        <f ca="1">TblMili[[#This Row],[Draftees]]</f>
        <v>356</v>
      </c>
      <c r="AC17" s="94">
        <f ca="1">TblProd[[#This Row],[Platinum]]</f>
        <v>135499</v>
      </c>
      <c r="AD17" s="215"/>
      <c r="AE17" s="45">
        <f ca="1">TblExplore[[#This Row],[Land]]-TblExplore[[#This Row],[Land Bonus]]*20</f>
        <v>50</v>
      </c>
      <c r="AF17" s="94">
        <f ca="1">ROUND(MAX(0.6*TblExplore[[#This Row],[Land-DB]]^1.299,850)*(1+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118</v>
      </c>
    </row>
    <row r="18" spans="1:36" x14ac:dyDescent="0.2">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218"/>
      <c r="T18" s="179"/>
      <c r="U18" s="179"/>
      <c r="V18" s="179"/>
      <c r="W18" s="179"/>
      <c r="X18" s="179"/>
      <c r="Y18" s="179"/>
      <c r="Z18" s="179"/>
      <c r="AA18" s="159">
        <f ca="1">TblImps[[#This Row],[Real time]]</f>
        <v>45815.583333333299</v>
      </c>
      <c r="AB18" s="94">
        <f ca="1">TblMili[[#This Row],[Draftees]]</f>
        <v>360</v>
      </c>
      <c r="AC18" s="94">
        <f ca="1">TblProd[[#This Row],[Platinum]]</f>
        <v>136614</v>
      </c>
      <c r="AD18" s="215"/>
      <c r="AE18" s="45">
        <f ca="1">TblExplore[[#This Row],[Land]]-TblExplore[[#This Row],[Land Bonus]]*20</f>
        <v>50</v>
      </c>
      <c r="AF18" s="94">
        <f ca="1">ROUND(MAX(0.6*TblExplore[[#This Row],[Land-DB]]^1.299,850)*(1+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120</v>
      </c>
    </row>
    <row r="19" spans="1:36" x14ac:dyDescent="0.2">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218"/>
      <c r="T19" s="158"/>
      <c r="U19" s="179"/>
      <c r="V19" s="179"/>
      <c r="W19" s="179"/>
      <c r="X19" s="179"/>
      <c r="Y19" s="179"/>
      <c r="Z19" s="179"/>
      <c r="AA19" s="159">
        <f ca="1">TblImps[[#This Row],[Real time]]</f>
        <v>45815.624999999964</v>
      </c>
      <c r="AB19" s="94">
        <f ca="1">TblMili[[#This Row],[Draftees]]</f>
        <v>364</v>
      </c>
      <c r="AC19" s="94">
        <f ca="1">TblProd[[#This Row],[Platinum]]</f>
        <v>137718</v>
      </c>
      <c r="AD19" s="215"/>
      <c r="AE19" s="45">
        <f ca="1">TblExplore[[#This Row],[Land]]-TblExplore[[#This Row],[Land Bonus]]*20</f>
        <v>50</v>
      </c>
      <c r="AF19" s="94">
        <f ca="1">ROUND(MAX(0.6*TblExplore[[#This Row],[Land-DB]]^1.299,850)*(1+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121</v>
      </c>
    </row>
    <row r="20" spans="1:36" x14ac:dyDescent="0.2">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218"/>
      <c r="T20" s="158"/>
      <c r="U20" s="179"/>
      <c r="V20" s="179"/>
      <c r="W20" s="179"/>
      <c r="X20" s="179"/>
      <c r="Y20" s="179"/>
      <c r="Z20" s="179"/>
      <c r="AA20" s="159">
        <f ca="1">TblImps[[#This Row],[Real time]]</f>
        <v>45815.666666666628</v>
      </c>
      <c r="AB20" s="94">
        <f ca="1">TblMili[[#This Row],[Draftees]]</f>
        <v>368</v>
      </c>
      <c r="AC20" s="94">
        <f ca="1">TblProd[[#This Row],[Platinum]]</f>
        <v>138811</v>
      </c>
      <c r="AD20" s="215"/>
      <c r="AE20" s="45">
        <f ca="1">TblExplore[[#This Row],[Land]]-TblExplore[[#This Row],[Land Bonus]]*20</f>
        <v>50</v>
      </c>
      <c r="AF20" s="94">
        <f ca="1">ROUND(MAX(0.6*TblExplore[[#This Row],[Land-DB]]^1.299,850)*(1+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122</v>
      </c>
    </row>
    <row r="21" spans="1:36" x14ac:dyDescent="0.2">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218"/>
      <c r="T21" s="179"/>
      <c r="U21" s="179"/>
      <c r="V21" s="179"/>
      <c r="W21" s="179"/>
      <c r="X21" s="179"/>
      <c r="Y21" s="179"/>
      <c r="Z21" s="179"/>
      <c r="AA21" s="159">
        <f ca="1">TblImps[[#This Row],[Real time]]</f>
        <v>45815.708333333292</v>
      </c>
      <c r="AB21" s="94">
        <f ca="1">TblMili[[#This Row],[Draftees]]</f>
        <v>372</v>
      </c>
      <c r="AC21" s="94">
        <f ca="1">TblProd[[#This Row],[Platinum]]</f>
        <v>139893</v>
      </c>
      <c r="AD21" s="215"/>
      <c r="AE21" s="45">
        <f ca="1">TblExplore[[#This Row],[Land]]-TblExplore[[#This Row],[Land Bonus]]*20</f>
        <v>50</v>
      </c>
      <c r="AF21" s="94">
        <f ca="1">ROUND(MAX(0.6*TblExplore[[#This Row],[Land-DB]]^1.299,850)*(1+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124</v>
      </c>
    </row>
    <row r="22" spans="1:36" x14ac:dyDescent="0.2">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218"/>
      <c r="T22" s="179"/>
      <c r="U22" s="179"/>
      <c r="V22" s="179"/>
      <c r="W22" s="179"/>
      <c r="X22" s="179"/>
      <c r="Y22" s="179"/>
      <c r="Z22" s="179"/>
      <c r="AA22" s="159">
        <f ca="1">TblImps[[#This Row],[Real time]]</f>
        <v>45815.749999999956</v>
      </c>
      <c r="AB22" s="94">
        <f ca="1">TblMili[[#This Row],[Draftees]]</f>
        <v>376</v>
      </c>
      <c r="AC22" s="94">
        <f ca="1">TblProd[[#This Row],[Platinum]]</f>
        <v>140964</v>
      </c>
      <c r="AD22" s="215"/>
      <c r="AE22" s="45">
        <f ca="1">TblExplore[[#This Row],[Land]]-TblExplore[[#This Row],[Land Bonus]]*20</f>
        <v>50</v>
      </c>
      <c r="AF22" s="94">
        <f ca="1">ROUND(MAX(0.6*TblExplore[[#This Row],[Land-DB]]^1.299,850)*(1+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125</v>
      </c>
    </row>
    <row r="23" spans="1:36" x14ac:dyDescent="0.2">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218"/>
      <c r="T23" s="179"/>
      <c r="U23" s="179"/>
      <c r="V23" s="179"/>
      <c r="W23" s="179"/>
      <c r="X23" s="179"/>
      <c r="Y23" s="179"/>
      <c r="Z23" s="179"/>
      <c r="AA23" s="159">
        <f ca="1">TblImps[[#This Row],[Real time]]</f>
        <v>45815.791666666621</v>
      </c>
      <c r="AB23" s="94">
        <f ca="1">TblMili[[#This Row],[Draftees]]</f>
        <v>380</v>
      </c>
      <c r="AC23" s="94">
        <f ca="1">TblProd[[#This Row],[Platinum]]</f>
        <v>142025</v>
      </c>
      <c r="AD23" s="215"/>
      <c r="AE23" s="45">
        <f ca="1">TblExplore[[#This Row],[Land]]-TblExplore[[#This Row],[Land Bonus]]*20</f>
        <v>50</v>
      </c>
      <c r="AF23" s="94">
        <f ca="1">ROUND(MAX(0.6*TblExplore[[#This Row],[Land-DB]]^1.299,850)*(1+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126</v>
      </c>
    </row>
    <row r="24" spans="1:36" x14ac:dyDescent="0.2">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218"/>
      <c r="T24" s="179"/>
      <c r="U24" s="179"/>
      <c r="V24" s="179"/>
      <c r="W24" s="179"/>
      <c r="X24" s="179"/>
      <c r="Y24" s="179"/>
      <c r="Z24" s="179"/>
      <c r="AA24" s="159">
        <f ca="1">TblImps[[#This Row],[Real time]]</f>
        <v>45815.833333333285</v>
      </c>
      <c r="AB24" s="94">
        <f ca="1">TblMili[[#This Row],[Draftees]]</f>
        <v>384</v>
      </c>
      <c r="AC24" s="94">
        <f ca="1">TblProd[[#This Row],[Platinum]]</f>
        <v>143075</v>
      </c>
      <c r="AD24" s="215"/>
      <c r="AE24" s="45">
        <f ca="1">TblExplore[[#This Row],[Land]]-TblExplore[[#This Row],[Land Bonus]]*20</f>
        <v>50</v>
      </c>
      <c r="AF24" s="94">
        <f ca="1">ROUND(MAX(0.6*TblExplore[[#This Row],[Land-DB]]^1.299,850)*(1+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128</v>
      </c>
    </row>
    <row r="25" spans="1:36" x14ac:dyDescent="0.2">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218"/>
      <c r="T25" s="179"/>
      <c r="U25" s="179"/>
      <c r="V25" s="179"/>
      <c r="W25" s="179"/>
      <c r="X25" s="179"/>
      <c r="Y25" s="179"/>
      <c r="Z25" s="179"/>
      <c r="AA25" s="159">
        <f ca="1">TblImps[[#This Row],[Real time]]</f>
        <v>45815.874999999949</v>
      </c>
      <c r="AB25" s="94">
        <f ca="1">TblMili[[#This Row],[Draftees]]</f>
        <v>388</v>
      </c>
      <c r="AC25" s="94">
        <f ca="1">TblProd[[#This Row],[Platinum]]</f>
        <v>144114</v>
      </c>
      <c r="AD25" s="215"/>
      <c r="AE25" s="45">
        <f ca="1">TblExplore[[#This Row],[Land]]-TblExplore[[#This Row],[Land Bonus]]*20</f>
        <v>50</v>
      </c>
      <c r="AF25" s="94">
        <f ca="1">ROUND(MAX(0.6*TblExplore[[#This Row],[Land-DB]]^1.299,850)*(1+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129</v>
      </c>
    </row>
    <row r="26" spans="1:36" x14ac:dyDescent="0.2">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179517</v>
      </c>
      <c r="N26" s="217">
        <f ca="1">TblMili[[#This Row],[Smithies]]</f>
        <v>0</v>
      </c>
      <c r="O26" s="217">
        <f ca="1">TblPop[[#This Row],[Employment]]</f>
        <v>1</v>
      </c>
      <c r="P26" s="217">
        <f ca="1">TblImps[[#This Row],[Population]]</f>
        <v>1</v>
      </c>
      <c r="Q26" s="175">
        <f ca="1">TblExplore[[#This Row],[Land]]</f>
        <v>50</v>
      </c>
      <c r="R26" s="175">
        <f>TblExplore[[#This Row],[Hour]]</f>
        <v>23</v>
      </c>
      <c r="S26" s="218"/>
      <c r="T26" s="179"/>
      <c r="U26" s="179"/>
      <c r="V26" s="179"/>
      <c r="W26" s="179"/>
      <c r="X26" s="179"/>
      <c r="Y26" s="179"/>
      <c r="Z26" s="179"/>
      <c r="AA26" s="159">
        <f ca="1">TblImps[[#This Row],[Real time]]</f>
        <v>45815.916666666613</v>
      </c>
      <c r="AB26" s="94">
        <f ca="1">TblMili[[#This Row],[Draftees]]</f>
        <v>392</v>
      </c>
      <c r="AC26" s="94">
        <f ca="1">TblProd[[#This Row],[Platinum]]</f>
        <v>145142</v>
      </c>
      <c r="AD26" s="215"/>
      <c r="AE26" s="45">
        <f ca="1">TblExplore[[#This Row],[Land]]-TblExplore[[#This Row],[Land Bonus]]*20</f>
        <v>50</v>
      </c>
      <c r="AF26" s="94">
        <f ca="1">ROUND(MAX(0.6*TblExplore[[#This Row],[Land-DB]]^1.299,850)*(1+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130</v>
      </c>
    </row>
    <row r="27" spans="1:36" x14ac:dyDescent="0.2">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618</v>
      </c>
      <c r="N27" s="217">
        <f ca="1">TblMili[[#This Row],[Smithies]]</f>
        <v>0</v>
      </c>
      <c r="O27" s="217">
        <f ca="1">TblPop[[#This Row],[Employment]]</f>
        <v>1</v>
      </c>
      <c r="P27" s="217">
        <f ca="1">TblImps[[#This Row],[Population]]</f>
        <v>1</v>
      </c>
      <c r="Q27" s="175">
        <f ca="1">TblExplore[[#This Row],[Land]]</f>
        <v>50</v>
      </c>
      <c r="R27" s="175">
        <f>TblExplore[[#This Row],[Hour]]</f>
        <v>24</v>
      </c>
      <c r="S27" s="218"/>
      <c r="T27" s="158"/>
      <c r="U27" s="179"/>
      <c r="V27" s="179"/>
      <c r="W27" s="179"/>
      <c r="X27" s="179"/>
      <c r="Y27" s="179"/>
      <c r="Z27" s="179"/>
      <c r="AA27" s="159">
        <f ca="1">TblImps[[#This Row],[Real time]]</f>
        <v>45815.958333333278</v>
      </c>
      <c r="AB27" s="94">
        <f ca="1">TblMili[[#This Row],[Draftees]]</f>
        <v>396</v>
      </c>
      <c r="AC27" s="94">
        <f ca="1">TblProd[[#This Row],[Platinum]]</f>
        <v>146159</v>
      </c>
      <c r="AD27" s="215"/>
      <c r="AE27" s="45">
        <f ca="1">TblExplore[[#This Row],[Land]]-TblExplore[[#This Row],[Land Bonus]]*20</f>
        <v>50</v>
      </c>
      <c r="AF27" s="94">
        <f ca="1">ROUND(MAX(0.6*TblExplore[[#This Row],[Land-DB]]^1.299,850)*(1+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132</v>
      </c>
    </row>
    <row r="28" spans="1:36" x14ac:dyDescent="0.2">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513</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45815.999999999942</v>
      </c>
      <c r="AB28" s="94">
        <f ca="1">TblMili[[#This Row],[Draftees]]</f>
        <v>400</v>
      </c>
      <c r="AC28" s="94">
        <f ca="1">TblProd[[#This Row],[Platinum]]</f>
        <v>147166</v>
      </c>
      <c r="AD28" s="215"/>
      <c r="AE28" s="45">
        <f ca="1">TblExplore[[#This Row],[Land]]-TblExplore[[#This Row],[Land Bonus]]*20</f>
        <v>50</v>
      </c>
      <c r="AF28" s="94">
        <f ca="1">ROUND(MAX(0.6*TblExplore[[#This Row],[Land-DB]]^1.299,850)*(1+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133</v>
      </c>
    </row>
    <row r="29" spans="1:36" x14ac:dyDescent="0.2">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45816.041666666606</v>
      </c>
      <c r="AB29" s="94">
        <f ca="1">TblMili[[#This Row],[Draftees]]</f>
        <v>404</v>
      </c>
      <c r="AC29" s="94">
        <f ca="1">TblProd[[#This Row],[Platinum]]</f>
        <v>148162</v>
      </c>
      <c r="AD29" s="215"/>
      <c r="AE29" s="45">
        <f ca="1">TblExplore[[#This Row],[Land]]-TblExplore[[#This Row],[Land Bonus]]*20</f>
        <v>50</v>
      </c>
      <c r="AF29" s="94">
        <f ca="1">ROUND(MAX(0.6*TblExplore[[#This Row],[Land-DB]]^1.299,850)*(1+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134</v>
      </c>
    </row>
    <row r="30" spans="1:36" x14ac:dyDescent="0.2">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45816.08333333327</v>
      </c>
      <c r="AB30" s="94">
        <f ca="1">TblMili[[#This Row],[Draftees]]</f>
        <v>408</v>
      </c>
      <c r="AC30" s="94">
        <f ca="1">TblProd[[#This Row],[Platinum]]</f>
        <v>149147</v>
      </c>
      <c r="AD30" s="215"/>
      <c r="AE30" s="45">
        <f ca="1">TblExplore[[#This Row],[Land]]-TblExplore[[#This Row],[Land Bonus]]*20</f>
        <v>50</v>
      </c>
      <c r="AF30" s="94">
        <f ca="1">ROUND(MAX(0.6*TblExplore[[#This Row],[Land-DB]]^1.299,850)*(1+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136</v>
      </c>
    </row>
    <row r="31" spans="1:36" x14ac:dyDescent="0.2">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45816.124999999935</v>
      </c>
      <c r="AB31" s="94">
        <f ca="1">TblMili[[#This Row],[Draftees]]</f>
        <v>412</v>
      </c>
      <c r="AC31" s="94">
        <f ca="1">TblProd[[#This Row],[Platinum]]</f>
        <v>150121</v>
      </c>
      <c r="AD31" s="215"/>
      <c r="AE31" s="45">
        <f ca="1">TblExplore[[#This Row],[Land]]-TblExplore[[#This Row],[Land Bonus]]*20</f>
        <v>50</v>
      </c>
      <c r="AF31" s="94">
        <f ca="1">ROUND(MAX(0.6*TblExplore[[#This Row],[Land-DB]]^1.299,850)*(1+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137</v>
      </c>
    </row>
    <row r="32" spans="1:36" x14ac:dyDescent="0.2">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45816.166666666599</v>
      </c>
      <c r="AB32" s="94">
        <f ca="1">TblMili[[#This Row],[Draftees]]</f>
        <v>416</v>
      </c>
      <c r="AC32" s="94">
        <f ca="1">TblProd[[#This Row],[Platinum]]</f>
        <v>151084</v>
      </c>
      <c r="AD32" s="215"/>
      <c r="AE32" s="45">
        <f ca="1">TblExplore[[#This Row],[Land]]-TblExplore[[#This Row],[Land Bonus]]*20</f>
        <v>50</v>
      </c>
      <c r="AF32" s="94">
        <f ca="1">ROUND(MAX(0.6*TblExplore[[#This Row],[Land-DB]]^1.299,850)*(1+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138</v>
      </c>
    </row>
    <row r="33" spans="1:36" x14ac:dyDescent="0.2">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45816.208333333263</v>
      </c>
      <c r="AB33" s="94">
        <f ca="1">TblMili[[#This Row],[Draftees]]</f>
        <v>420</v>
      </c>
      <c r="AC33" s="94">
        <f ca="1">TblProd[[#This Row],[Platinum]]</f>
        <v>152037</v>
      </c>
      <c r="AD33" s="215"/>
      <c r="AE33" s="45">
        <f ca="1">TblExplore[[#This Row],[Land]]-TblExplore[[#This Row],[Land Bonus]]*20</f>
        <v>50</v>
      </c>
      <c r="AF33" s="94">
        <f ca="1">ROUND(MAX(0.6*TblExplore[[#This Row],[Land-DB]]^1.299,850)*(1+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45816.249999999927</v>
      </c>
      <c r="AB34" s="94">
        <f ca="1">TblMili[[#This Row],[Draftees]]</f>
        <v>423</v>
      </c>
      <c r="AC34" s="94">
        <f ca="1">TblProd[[#This Row],[Platinum]]</f>
        <v>152979</v>
      </c>
      <c r="AD34" s="215"/>
      <c r="AE34" s="45">
        <f ca="1">TblExplore[[#This Row],[Land]]-TblExplore[[#This Row],[Land Bonus]]*20</f>
        <v>50</v>
      </c>
      <c r="AF34" s="94">
        <f ca="1">ROUND(MAX(0.6*TblExplore[[#This Row],[Land-DB]]^1.299,850)*(1+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141</v>
      </c>
    </row>
    <row r="35" spans="1:36" x14ac:dyDescent="0.2">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45816.291666666591</v>
      </c>
      <c r="AB35" s="94">
        <f ca="1">TblMili[[#This Row],[Draftees]]</f>
        <v>426</v>
      </c>
      <c r="AC35" s="94">
        <f ca="1">TblProd[[#This Row],[Platinum]]</f>
        <v>153913</v>
      </c>
      <c r="AD35" s="215"/>
      <c r="AE35" s="45">
        <f ca="1">TblExplore[[#This Row],[Land]]-TblExplore[[#This Row],[Land Bonus]]*20</f>
        <v>50</v>
      </c>
      <c r="AF35" s="94">
        <f ca="1">ROUND(MAX(0.6*TblExplore[[#This Row],[Land-DB]]^1.299,850)*(1+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142</v>
      </c>
    </row>
    <row r="36" spans="1:36" x14ac:dyDescent="0.2">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45816.333333333256</v>
      </c>
      <c r="AB36" s="94">
        <f ca="1">TblMili[[#This Row],[Draftees]]</f>
        <v>429</v>
      </c>
      <c r="AC36" s="94">
        <f ca="1">TblProd[[#This Row],[Platinum]]</f>
        <v>154839</v>
      </c>
      <c r="AD36" s="215"/>
      <c r="AE36" s="45">
        <f ca="1">TblExplore[[#This Row],[Land]]-TblExplore[[#This Row],[Land Bonus]]*20</f>
        <v>50</v>
      </c>
      <c r="AF36" s="94">
        <f ca="1">ROUND(MAX(0.6*TblExplore[[#This Row],[Land-DB]]^1.299,850)*(1+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143</v>
      </c>
    </row>
    <row r="37" spans="1:36" x14ac:dyDescent="0.2">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45816.37499999992</v>
      </c>
      <c r="AB37" s="94">
        <f ca="1">TblMili[[#This Row],[Draftees]]</f>
        <v>432</v>
      </c>
      <c r="AC37" s="94">
        <f ca="1">TblProd[[#This Row],[Platinum]]</f>
        <v>155757</v>
      </c>
      <c r="AD37" s="215"/>
      <c r="AE37" s="45">
        <f ca="1">TblExplore[[#This Row],[Land]]-TblExplore[[#This Row],[Land Bonus]]*20</f>
        <v>50</v>
      </c>
      <c r="AF37" s="94">
        <f ca="1">ROUND(MAX(0.6*TblExplore[[#This Row],[Land-DB]]^1.299,850)*(1+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144</v>
      </c>
    </row>
    <row r="38" spans="1:36" x14ac:dyDescent="0.2">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45816.416666666584</v>
      </c>
      <c r="AB38" s="94">
        <f ca="1">TblMili[[#This Row],[Draftees]]</f>
        <v>435</v>
      </c>
      <c r="AC38" s="94">
        <f ca="1">TblProd[[#This Row],[Platinum]]</f>
        <v>156666</v>
      </c>
      <c r="AD38" s="215"/>
      <c r="AE38" s="45">
        <f ca="1">TblExplore[[#This Row],[Land]]-TblExplore[[#This Row],[Land Bonus]]*20</f>
        <v>50</v>
      </c>
      <c r="AF38" s="94">
        <f ca="1">ROUND(MAX(0.6*TblExplore[[#This Row],[Land-DB]]^1.299,850)*(1+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145</v>
      </c>
    </row>
    <row r="39" spans="1:36" x14ac:dyDescent="0.2">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45816.458333333248</v>
      </c>
      <c r="AB39" s="94">
        <f ca="1">TblMili[[#This Row],[Draftees]]</f>
        <v>438</v>
      </c>
      <c r="AC39" s="94">
        <f ca="1">TblProd[[#This Row],[Platinum]]</f>
        <v>157567</v>
      </c>
      <c r="AD39" s="215"/>
      <c r="AE39" s="45">
        <f ca="1">TblExplore[[#This Row],[Land]]-TblExplore[[#This Row],[Land Bonus]]*20</f>
        <v>50</v>
      </c>
      <c r="AF39" s="94">
        <f ca="1">ROUND(MAX(0.6*TblExplore[[#This Row],[Land-DB]]^1.299,850)*(1+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146</v>
      </c>
    </row>
    <row r="40" spans="1:36" ht="12.75" customHeight="1" x14ac:dyDescent="0.2">
      <c r="A40" s="175">
        <f>TblRezone[[#This Row],[Hour]]</f>
        <v>37</v>
      </c>
      <c r="B40" s="214">
        <f ca="1">TblConstr[[#This Row],[Land]]</f>
        <v>50</v>
      </c>
      <c r="C40" s="215"/>
      <c r="D40" s="216">
        <f ca="1">TblConstr[[#This Row],[Plain]]</f>
        <v>0</v>
      </c>
      <c r="E40" s="182">
        <f ca="1">TblConstr[[#This Row],[Forest]]</f>
        <v>0</v>
      </c>
      <c r="F40" s="359">
        <f ca="1">TblConstr[[#This Row],[Mountain]]</f>
        <v>0</v>
      </c>
      <c r="G40" s="363">
        <f ca="1">TblConstr[[#This Row],[Hill]]</f>
        <v>0</v>
      </c>
      <c r="H40" s="367">
        <f ca="1">TblConstr[[#This Row],[Swamp]]</f>
        <v>0</v>
      </c>
      <c r="I40" s="185">
        <f ca="1">TblConstr[[#This Row],[Cavern]]</f>
        <v>0</v>
      </c>
      <c r="J40" s="186">
        <f ca="1">TblConstr[[#This Row],[Water]]</f>
        <v>0</v>
      </c>
      <c r="K40" s="210"/>
      <c r="L40" s="210"/>
      <c r="M40" s="210"/>
      <c r="N40" s="217">
        <f ca="1">TblMili[[#This Row],[Smithies]]</f>
        <v>0</v>
      </c>
      <c r="O40" s="217">
        <f ca="1">TblPop[[#This Row],[Employment]]</f>
        <v>1</v>
      </c>
      <c r="P40" s="217">
        <f ca="1">TblImps[[#This Row],[Population]]</f>
        <v>1</v>
      </c>
      <c r="Q40" s="175">
        <f ca="1">TblExplore[[#This Row],[Land]]</f>
        <v>50</v>
      </c>
      <c r="R40" s="175">
        <f>TblExplore[[#This Row],[Hour]]</f>
        <v>37</v>
      </c>
      <c r="S40" s="218"/>
      <c r="T40" s="179"/>
      <c r="U40" s="179"/>
      <c r="V40" s="179"/>
      <c r="W40" s="179"/>
      <c r="X40" s="179"/>
      <c r="Y40" s="179"/>
      <c r="Z40" s="179"/>
      <c r="AA40" s="159">
        <f ca="1">TblImps[[#This Row],[Real time]]</f>
        <v>45816.499999999913</v>
      </c>
      <c r="AB40" s="94">
        <f ca="1">TblMili[[#This Row],[Draftees]]</f>
        <v>441</v>
      </c>
      <c r="AC40" s="94">
        <f ca="1">TblProd[[#This Row],[Platinum]]</f>
        <v>158460</v>
      </c>
      <c r="AD40" s="215"/>
      <c r="AE40" s="45">
        <f ca="1">TblExplore[[#This Row],[Land]]-TblExplore[[#This Row],[Land Bonus]]*20</f>
        <v>50</v>
      </c>
      <c r="AF40" s="94">
        <f ca="1">ROUND(MAX(0.6*TblExplore[[#This Row],[Land-DB]]^1.299,850)*(1+ tech_2_6*Techs!AC40 + tech_2_9*Techs!AF40 + tech_3_7*Techs!AN40 + Overview!$I$33),0)</f>
        <v>850</v>
      </c>
      <c r="AG40" s="94">
        <f ca="1">_xlfn.FLOOR.MATH(TblExplore[[#This Row],[Land-DB]]/150)+3+tech_2_9_2*TblTech[[#This Row],[2-9]]+tech_3_7_2*TblTech[[#This Row],[3-7]]</f>
        <v>3</v>
      </c>
      <c r="AH40" s="94">
        <f ca="1">SUM(TblExplore[[#This Row],[Plains Explore]:[Water Explore]])*TblExplore[[#This Row],[Plat/acre]]</f>
        <v>0</v>
      </c>
      <c r="AI40" s="94">
        <f ca="1">SUM(TblExplore[[#This Row],[Plains Explore]:[Water Explore]])*TblExplore[[#This Row],[Draftees/acre]]</f>
        <v>0</v>
      </c>
      <c r="AJ40" s="45">
        <f ca="1">_xlfn.FLOOR.MATH(MIN(TblExplore[[#This Row],[Platinum]]/TblExplore[[#This Row],[Plat/acre]],TblExplore[[#This Row],[Draftees]]/TblExplore[[#This Row],[Draftees/acre]]))</f>
        <v>147</v>
      </c>
    </row>
    <row r="41" spans="1:36" x14ac:dyDescent="0.2">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45816.541666666577</v>
      </c>
      <c r="AB41" s="94">
        <f ca="1">TblMili[[#This Row],[Draftees]]</f>
        <v>444</v>
      </c>
      <c r="AC41" s="94">
        <f ca="1">TblProd[[#This Row],[Platinum]]</f>
        <v>159345</v>
      </c>
      <c r="AD41" s="215"/>
      <c r="AE41" s="45">
        <f ca="1">TblExplore[[#This Row],[Land]]-TblExplore[[#This Row],[Land Bonus]]*20</f>
        <v>50</v>
      </c>
      <c r="AF41" s="94">
        <f ca="1">ROUND(MAX(0.6*TblExplore[[#This Row],[Land-DB]]^1.299,850)*(1+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148</v>
      </c>
    </row>
    <row r="42" spans="1:36" x14ac:dyDescent="0.2">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45816.583333333241</v>
      </c>
      <c r="AB42" s="94">
        <f ca="1">TblMili[[#This Row],[Draftees]]</f>
        <v>447</v>
      </c>
      <c r="AC42" s="94">
        <f ca="1">TblProd[[#This Row],[Platinum]]</f>
        <v>160222</v>
      </c>
      <c r="AD42" s="215"/>
      <c r="AE42" s="45">
        <f ca="1">TblExplore[[#This Row],[Land]]-TblExplore[[#This Row],[Land Bonus]]*20</f>
        <v>50</v>
      </c>
      <c r="AF42" s="94">
        <f ca="1">ROUND(MAX(0.6*TblExplore[[#This Row],[Land-DB]]^1.299,850)*(1+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149</v>
      </c>
    </row>
    <row r="43" spans="1:36" x14ac:dyDescent="0.2">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45816.624999999905</v>
      </c>
      <c r="AB43" s="94">
        <f ca="1">TblMili[[#This Row],[Draftees]]</f>
        <v>450</v>
      </c>
      <c r="AC43" s="94">
        <f ca="1">TblProd[[#This Row],[Platinum]]</f>
        <v>161091</v>
      </c>
      <c r="AD43" s="215"/>
      <c r="AE43" s="45">
        <f ca="1">TblExplore[[#This Row],[Land]]-TblExplore[[#This Row],[Land Bonus]]*20</f>
        <v>50</v>
      </c>
      <c r="AF43" s="94">
        <f ca="1">ROUND(MAX(0.6*TblExplore[[#This Row],[Land-DB]]^1.299,850)*(1+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150</v>
      </c>
    </row>
    <row r="44" spans="1:36" x14ac:dyDescent="0.2">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45816.66666666657</v>
      </c>
      <c r="AB44" s="94">
        <f ca="1">TblMili[[#This Row],[Draftees]]</f>
        <v>453</v>
      </c>
      <c r="AC44" s="94">
        <f ca="1">TblProd[[#This Row],[Platinum]]</f>
        <v>161952</v>
      </c>
      <c r="AD44" s="215"/>
      <c r="AE44" s="45">
        <f ca="1">TblExplore[[#This Row],[Land]]-TblExplore[[#This Row],[Land Bonus]]*20</f>
        <v>50</v>
      </c>
      <c r="AF44" s="94">
        <f ca="1">ROUND(MAX(0.6*TblExplore[[#This Row],[Land-DB]]^1.299,850)*(1+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151</v>
      </c>
    </row>
    <row r="45" spans="1:36" x14ac:dyDescent="0.2">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45816.708333333234</v>
      </c>
      <c r="AB45" s="94">
        <f ca="1">TblMili[[#This Row],[Draftees]]</f>
        <v>456</v>
      </c>
      <c r="AC45" s="94">
        <f ca="1">TblProd[[#This Row],[Platinum]]</f>
        <v>162805</v>
      </c>
      <c r="AD45" s="215"/>
      <c r="AE45" s="45">
        <f ca="1">TblExplore[[#This Row],[Land]]-TblExplore[[#This Row],[Land Bonus]]*20</f>
        <v>50</v>
      </c>
      <c r="AF45" s="94">
        <f ca="1">ROUND(MAX(0.6*TblExplore[[#This Row],[Land-DB]]^1.299,850)*(1+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152</v>
      </c>
    </row>
    <row r="46" spans="1:36" x14ac:dyDescent="0.2">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45816.749999999898</v>
      </c>
      <c r="AB46" s="94">
        <f ca="1">TblMili[[#This Row],[Draftees]]</f>
        <v>459</v>
      </c>
      <c r="AC46" s="94">
        <f ca="1">TblProd[[#This Row],[Platinum]]</f>
        <v>163650</v>
      </c>
      <c r="AD46" s="215"/>
      <c r="AE46" s="45">
        <f ca="1">TblExplore[[#This Row],[Land]]-TblExplore[[#This Row],[Land Bonus]]*20</f>
        <v>50</v>
      </c>
      <c r="AF46" s="94">
        <f ca="1">ROUND(MAX(0.6*TblExplore[[#This Row],[Land-DB]]^1.299,850)*(1+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153</v>
      </c>
    </row>
    <row r="47" spans="1:36" x14ac:dyDescent="0.2">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45816.791666666562</v>
      </c>
      <c r="AB47" s="94">
        <f ca="1">TblMili[[#This Row],[Draftees]]</f>
        <v>462</v>
      </c>
      <c r="AC47" s="94">
        <f ca="1">TblProd[[#This Row],[Platinum]]</f>
        <v>164487</v>
      </c>
      <c r="AD47" s="215"/>
      <c r="AE47" s="45">
        <f ca="1">TblExplore[[#This Row],[Land]]-TblExplore[[#This Row],[Land Bonus]]*20</f>
        <v>50</v>
      </c>
      <c r="AF47" s="94">
        <f ca="1">ROUND(MAX(0.6*TblExplore[[#This Row],[Land-DB]]^1.299,850)*(1+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154</v>
      </c>
    </row>
    <row r="48" spans="1:36" x14ac:dyDescent="0.2">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45816.833333333227</v>
      </c>
      <c r="AB48" s="94">
        <f ca="1">TblMili[[#This Row],[Draftees]]</f>
        <v>465</v>
      </c>
      <c r="AC48" s="94">
        <f ca="1">TblProd[[#This Row],[Platinum]]</f>
        <v>165315</v>
      </c>
      <c r="AD48" s="215"/>
      <c r="AE48" s="45">
        <f ca="1">TblExplore[[#This Row],[Land]]-TblExplore[[#This Row],[Land Bonus]]*20</f>
        <v>50</v>
      </c>
      <c r="AF48" s="94">
        <f ca="1">ROUND(MAX(0.6*TblExplore[[#This Row],[Land-DB]]^1.299,850)*(1+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155</v>
      </c>
    </row>
    <row r="49" spans="1:36" x14ac:dyDescent="0.2">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45816.874999999891</v>
      </c>
      <c r="AB49" s="94">
        <f ca="1">TblMili[[#This Row],[Draftees]]</f>
        <v>468</v>
      </c>
      <c r="AC49" s="94">
        <f ca="1">TblProd[[#This Row],[Platinum]]</f>
        <v>166135</v>
      </c>
      <c r="AD49" s="215"/>
      <c r="AE49" s="45">
        <f ca="1">TblExplore[[#This Row],[Land]]-TblExplore[[#This Row],[Land Bonus]]*20</f>
        <v>50</v>
      </c>
      <c r="AF49" s="94">
        <f ca="1">ROUND(MAX(0.6*TblExplore[[#This Row],[Land-DB]]^1.299,850)*(1+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45816.916666666555</v>
      </c>
      <c r="AB50" s="94">
        <f ca="1">TblMili[[#This Row],[Draftees]]</f>
        <v>471</v>
      </c>
      <c r="AC50" s="94">
        <f ca="1">TblProd[[#This Row],[Platinum]]</f>
        <v>166947</v>
      </c>
      <c r="AD50" s="215"/>
      <c r="AE50" s="45">
        <f ca="1">TblExplore[[#This Row],[Land]]-TblExplore[[#This Row],[Land Bonus]]*20</f>
        <v>50</v>
      </c>
      <c r="AF50" s="94">
        <f ca="1">ROUND(MAX(0.6*TblExplore[[#This Row],[Land-DB]]^1.299,850)*(1+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157</v>
      </c>
    </row>
    <row r="51" spans="1:36" x14ac:dyDescent="0.2">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45816.958333333219</v>
      </c>
      <c r="AB51" s="94">
        <f ca="1">TblMili[[#This Row],[Draftees]]</f>
        <v>474</v>
      </c>
      <c r="AC51" s="94">
        <f ca="1">TblProd[[#This Row],[Platinum]]</f>
        <v>167751</v>
      </c>
      <c r="AD51" s="215"/>
      <c r="AE51" s="45">
        <f ca="1">TblExplore[[#This Row],[Land]]-TblExplore[[#This Row],[Land Bonus]]*20</f>
        <v>50</v>
      </c>
      <c r="AF51" s="94">
        <f ca="1">ROUND(MAX(0.6*TblExplore[[#This Row],[Land-DB]]^1.299,850)*(1+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158</v>
      </c>
    </row>
    <row r="52" spans="1:36" s="5" customFormat="1" x14ac:dyDescent="0.2">
      <c r="A52" s="193">
        <f>TblRezone[[#This Row],[Hour]]</f>
        <v>49</v>
      </c>
      <c r="B52" s="230">
        <f ca="1">TblConstr[[#This Row],[Land]]</f>
        <v>50</v>
      </c>
      <c r="C52" s="231"/>
      <c r="D52" s="232">
        <f ca="1">TblConstr[[#This Row],[Plain]]</f>
        <v>0</v>
      </c>
      <c r="E52" s="196">
        <f ca="1">TblConstr[[#This Row],[Forest]]</f>
        <v>0</v>
      </c>
      <c r="F52" s="360">
        <f ca="1">TblConstr[[#This Row],[Mountain]]</f>
        <v>0</v>
      </c>
      <c r="G52" s="364">
        <f ca="1">TblConstr[[#This Row],[Hill]]</f>
        <v>0</v>
      </c>
      <c r="H52" s="368">
        <f ca="1">TblConstr[[#This Row],[Swamp]]</f>
        <v>0</v>
      </c>
      <c r="I52" s="199">
        <f ca="1">TblConstr[[#This Row],[Cavern]]</f>
        <v>0</v>
      </c>
      <c r="J52" s="200">
        <f ca="1">TblConstr[[#This Row],[Water]]</f>
        <v>0</v>
      </c>
      <c r="K52" s="208"/>
      <c r="L52" s="439"/>
      <c r="M52" s="440"/>
      <c r="N52" s="441">
        <f ca="1">TblMili[[#This Row],[Smithies]]</f>
        <v>0</v>
      </c>
      <c r="O52" s="441">
        <f ca="1">TblPop[[#This Row],[Employment]]</f>
        <v>1</v>
      </c>
      <c r="P52" s="441">
        <f ca="1">TblImps[[#This Row],[Population]]</f>
        <v>1</v>
      </c>
      <c r="Q52" s="193">
        <f ca="1">TblExplore[[#This Row],[Land]]</f>
        <v>50</v>
      </c>
      <c r="R52" s="193">
        <f>TblExplore[[#This Row],[Hour]]</f>
        <v>49</v>
      </c>
      <c r="S52" s="233"/>
      <c r="T52" s="201"/>
      <c r="U52" s="201"/>
      <c r="V52" s="201"/>
      <c r="W52" s="201"/>
      <c r="X52" s="201"/>
      <c r="Y52" s="201"/>
      <c r="Z52" s="201"/>
      <c r="AA52" s="167">
        <f ca="1">TblImps[[#This Row],[Real time]]</f>
        <v>45816.999999999884</v>
      </c>
      <c r="AB52" s="35">
        <f ca="1">TblMili[[#This Row],[Draftees]]</f>
        <v>477</v>
      </c>
      <c r="AC52" s="35">
        <f ca="1">TblProd[[#This Row],[Platinum]]</f>
        <v>168547</v>
      </c>
      <c r="AD52" s="231"/>
      <c r="AE52" s="5">
        <f ca="1">TblExplore[[#This Row],[Land]]-TblExplore[[#This Row],[Land Bonus]]*20</f>
        <v>50</v>
      </c>
      <c r="AF52" s="35">
        <f ca="1">ROUND(MAX(0.6*TblExplore[[#This Row],[Land-DB]]^1.299,850)*(1+ tech_2_6*Techs!AC52 + tech_2_9*Techs!AF52 + tech_3_7*Techs!AN52 + Overview!$I$33),0)</f>
        <v>850</v>
      </c>
      <c r="AG52" s="35">
        <f ca="1">_xlfn.FLOOR.MATH(TblExplore[[#This Row],[Land-DB]]/150)+3+tech_2_9_2*TblTech[[#This Row],[2-9]]+tech_3_7_2*TblTech[[#This Row],[3-7]]</f>
        <v>3</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159</v>
      </c>
    </row>
    <row r="53" spans="1:36" x14ac:dyDescent="0.2">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45817.041666666548</v>
      </c>
      <c r="AB53" s="94">
        <f ca="1">TblMili[[#This Row],[Draftees]]</f>
        <v>480</v>
      </c>
      <c r="AC53" s="94">
        <f ca="1">TblProd[[#This Row],[Platinum]]</f>
        <v>169335</v>
      </c>
      <c r="AD53" s="215"/>
      <c r="AE53" s="45">
        <f ca="1">TblExplore[[#This Row],[Land]]-TblExplore[[#This Row],[Land Bonus]]*20</f>
        <v>50</v>
      </c>
      <c r="AF53" s="94">
        <f ca="1">ROUND(MAX(0.6*TblExplore[[#This Row],[Land-DB]]^1.299,850)*(1+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160</v>
      </c>
    </row>
    <row r="54" spans="1:36" x14ac:dyDescent="0.2">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45817.083333333212</v>
      </c>
      <c r="AB54" s="94">
        <f ca="1">TblMili[[#This Row],[Draftees]]</f>
        <v>483</v>
      </c>
      <c r="AC54" s="94">
        <f ca="1">TblProd[[#This Row],[Platinum]]</f>
        <v>170115</v>
      </c>
      <c r="AD54" s="215"/>
      <c r="AE54" s="45">
        <f ca="1">TblExplore[[#This Row],[Land]]-TblExplore[[#This Row],[Land Bonus]]*20</f>
        <v>50</v>
      </c>
      <c r="AF54" s="94">
        <f ca="1">ROUND(MAX(0.6*TblExplore[[#This Row],[Land-DB]]^1.299,850)*(1+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161</v>
      </c>
    </row>
    <row r="55" spans="1:36" x14ac:dyDescent="0.2">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45817.124999999876</v>
      </c>
      <c r="AB55" s="94">
        <f ca="1">TblMili[[#This Row],[Draftees]]</f>
        <v>486</v>
      </c>
      <c r="AC55" s="94">
        <f ca="1">TblProd[[#This Row],[Platinum]]</f>
        <v>170887</v>
      </c>
      <c r="AD55" s="215"/>
      <c r="AE55" s="45">
        <f ca="1">TblExplore[[#This Row],[Land]]-TblExplore[[#This Row],[Land Bonus]]*20</f>
        <v>50</v>
      </c>
      <c r="AF55" s="94">
        <f ca="1">ROUND(MAX(0.6*TblExplore[[#This Row],[Land-DB]]^1.299,850)*(1+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162</v>
      </c>
    </row>
    <row r="56" spans="1:36" x14ac:dyDescent="0.2">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45817.166666666541</v>
      </c>
      <c r="AB56" s="94">
        <f ca="1">TblMili[[#This Row],[Draftees]]</f>
        <v>489</v>
      </c>
      <c r="AC56" s="94">
        <f ca="1">TblProd[[#This Row],[Platinum]]</f>
        <v>171651</v>
      </c>
      <c r="AD56" s="215"/>
      <c r="AE56" s="45">
        <f ca="1">TblExplore[[#This Row],[Land]]-TblExplore[[#This Row],[Land Bonus]]*20</f>
        <v>50</v>
      </c>
      <c r="AF56" s="94">
        <f ca="1">ROUND(MAX(0.6*TblExplore[[#This Row],[Land-DB]]^1.299,850)*(1+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163</v>
      </c>
    </row>
    <row r="57" spans="1:36" x14ac:dyDescent="0.2">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45817.208333333205</v>
      </c>
      <c r="AB57" s="94">
        <f ca="1">TblMili[[#This Row],[Draftees]]</f>
        <v>492</v>
      </c>
      <c r="AC57" s="94">
        <f ca="1">TblProd[[#This Row],[Platinum]]</f>
        <v>172407</v>
      </c>
      <c r="AD57" s="215"/>
      <c r="AE57" s="45">
        <f ca="1">TblExplore[[#This Row],[Land]]-TblExplore[[#This Row],[Land Bonus]]*20</f>
        <v>50</v>
      </c>
      <c r="AF57" s="94">
        <f ca="1">ROUND(MAX(0.6*TblExplore[[#This Row],[Land-DB]]^1.299,850)*(1+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164</v>
      </c>
    </row>
    <row r="58" spans="1:36" x14ac:dyDescent="0.2">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45817.249999999869</v>
      </c>
      <c r="AB58" s="94">
        <f ca="1">TblMili[[#This Row],[Draftees]]</f>
        <v>495</v>
      </c>
      <c r="AC58" s="94">
        <f ca="1">TblProd[[#This Row],[Platinum]]</f>
        <v>173154</v>
      </c>
      <c r="AD58" s="215"/>
      <c r="AE58" s="45">
        <f ca="1">TblExplore[[#This Row],[Land]]-TblExplore[[#This Row],[Land Bonus]]*20</f>
        <v>50</v>
      </c>
      <c r="AF58" s="94">
        <f ca="1">ROUND(MAX(0.6*TblExplore[[#This Row],[Land-DB]]^1.299,850)*(1+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165</v>
      </c>
    </row>
    <row r="59" spans="1:36" x14ac:dyDescent="0.2">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45817.291666666533</v>
      </c>
      <c r="AB59" s="94">
        <f ca="1">TblMili[[#This Row],[Draftees]]</f>
        <v>498</v>
      </c>
      <c r="AC59" s="94">
        <f ca="1">TblProd[[#This Row],[Platinum]]</f>
        <v>173893</v>
      </c>
      <c r="AD59" s="215"/>
      <c r="AE59" s="45">
        <f ca="1">TblExplore[[#This Row],[Land]]-TblExplore[[#This Row],[Land Bonus]]*20</f>
        <v>50</v>
      </c>
      <c r="AF59" s="94">
        <f ca="1">ROUND(MAX(0.6*TblExplore[[#This Row],[Land-DB]]^1.299,850)*(1+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166</v>
      </c>
    </row>
    <row r="60" spans="1:36" x14ac:dyDescent="0.2">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45817.333333333198</v>
      </c>
      <c r="AB60" s="94">
        <f ca="1">TblMili[[#This Row],[Draftees]]</f>
        <v>501</v>
      </c>
      <c r="AC60" s="94">
        <f ca="1">TblProd[[#This Row],[Platinum]]</f>
        <v>174624</v>
      </c>
      <c r="AD60" s="215"/>
      <c r="AE60" s="45">
        <f ca="1">TblExplore[[#This Row],[Land]]-TblExplore[[#This Row],[Land Bonus]]*20</f>
        <v>50</v>
      </c>
      <c r="AF60" s="94">
        <f ca="1">ROUND(MAX(0.6*TblExplore[[#This Row],[Land-DB]]^1.299,850)*(1+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167</v>
      </c>
    </row>
    <row r="61" spans="1:36" x14ac:dyDescent="0.2">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45817.374999999862</v>
      </c>
      <c r="AB61" s="94">
        <f ca="1">TblMili[[#This Row],[Draftees]]</f>
        <v>504</v>
      </c>
      <c r="AC61" s="94">
        <f ca="1">TblProd[[#This Row],[Platinum]]</f>
        <v>175347</v>
      </c>
      <c r="AD61" s="215"/>
      <c r="AE61" s="45">
        <f ca="1">TblExplore[[#This Row],[Land]]-TblExplore[[#This Row],[Land Bonus]]*20</f>
        <v>50</v>
      </c>
      <c r="AF61" s="94">
        <f ca="1">ROUND(MAX(0.6*TblExplore[[#This Row],[Land-DB]]^1.299,850)*(1+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168</v>
      </c>
    </row>
    <row r="62" spans="1:36" x14ac:dyDescent="0.2">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45817.416666666526</v>
      </c>
      <c r="AB62" s="94">
        <f ca="1">TblMili[[#This Row],[Draftees]]</f>
        <v>507</v>
      </c>
      <c r="AC62" s="94">
        <f ca="1">TblProd[[#This Row],[Platinum]]</f>
        <v>176062</v>
      </c>
      <c r="AD62" s="215"/>
      <c r="AE62" s="45">
        <f ca="1">TblExplore[[#This Row],[Land]]-TblExplore[[#This Row],[Land Bonus]]*20</f>
        <v>50</v>
      </c>
      <c r="AF62" s="94">
        <f ca="1">ROUND(MAX(0.6*TblExplore[[#This Row],[Land-DB]]^1.299,850)*(1+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169</v>
      </c>
    </row>
    <row r="63" spans="1:36" x14ac:dyDescent="0.2">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45817.45833333319</v>
      </c>
      <c r="AB63" s="94">
        <f ca="1">TblMili[[#This Row],[Draftees]]</f>
        <v>510</v>
      </c>
      <c r="AC63" s="94">
        <f ca="1">TblProd[[#This Row],[Platinum]]</f>
        <v>176769</v>
      </c>
      <c r="AD63" s="215"/>
      <c r="AE63" s="45">
        <f ca="1">TblExplore[[#This Row],[Land]]-TblExplore[[#This Row],[Land Bonus]]*20</f>
        <v>50</v>
      </c>
      <c r="AF63" s="94">
        <f ca="1">ROUND(MAX(0.6*TblExplore[[#This Row],[Land-DB]]^1.299,850)*(1+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170</v>
      </c>
    </row>
    <row r="64" spans="1:36" x14ac:dyDescent="0.2">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45817.499999999854</v>
      </c>
      <c r="AB64" s="94">
        <f ca="1">TblMili[[#This Row],[Draftees]]</f>
        <v>513</v>
      </c>
      <c r="AC64" s="94">
        <f ca="1">TblProd[[#This Row],[Platinum]]</f>
        <v>177468</v>
      </c>
      <c r="AD64" s="215"/>
      <c r="AE64" s="45">
        <f ca="1">TblExplore[[#This Row],[Land]]-TblExplore[[#This Row],[Land Bonus]]*20</f>
        <v>50</v>
      </c>
      <c r="AF64" s="94">
        <f ca="1">ROUND(MAX(0.6*TblExplore[[#This Row],[Land-DB]]^1.299,850)*(1+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171</v>
      </c>
    </row>
    <row r="65" spans="1:36" x14ac:dyDescent="0.2">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45817.541666666519</v>
      </c>
      <c r="AB65" s="94">
        <f ca="1">TblMili[[#This Row],[Draftees]]</f>
        <v>516</v>
      </c>
      <c r="AC65" s="94">
        <f ca="1">TblProd[[#This Row],[Platinum]]</f>
        <v>178159</v>
      </c>
      <c r="AD65" s="215"/>
      <c r="AE65" s="45">
        <f ca="1">TblExplore[[#This Row],[Land]]-TblExplore[[#This Row],[Land Bonus]]*20</f>
        <v>50</v>
      </c>
      <c r="AF65" s="94">
        <f ca="1">ROUND(MAX(0.6*TblExplore[[#This Row],[Land-DB]]^1.299,850)*(1+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172</v>
      </c>
    </row>
    <row r="66" spans="1:36" x14ac:dyDescent="0.2">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45817.583333333183</v>
      </c>
      <c r="AB66" s="94">
        <f ca="1">TblMili[[#This Row],[Draftees]]</f>
        <v>519</v>
      </c>
      <c r="AC66" s="94">
        <f ca="1">TblProd[[#This Row],[Platinum]]</f>
        <v>178842</v>
      </c>
      <c r="AD66" s="215"/>
      <c r="AE66" s="45">
        <f ca="1">TblExplore[[#This Row],[Land]]-TblExplore[[#This Row],[Land Bonus]]*20</f>
        <v>50</v>
      </c>
      <c r="AF66" s="94">
        <f ca="1">ROUND(MAX(0.6*TblExplore[[#This Row],[Land-DB]]^1.299,850)*(1+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173</v>
      </c>
    </row>
    <row r="67" spans="1:36" x14ac:dyDescent="0.2">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45817.624999999847</v>
      </c>
      <c r="AB67" s="94">
        <f ca="1">TblMili[[#This Row],[Draftees]]</f>
        <v>522</v>
      </c>
      <c r="AC67" s="94">
        <f ca="1">TblProd[[#This Row],[Platinum]]</f>
        <v>179517</v>
      </c>
      <c r="AD67" s="215"/>
      <c r="AE67" s="45">
        <f ca="1">TblExplore[[#This Row],[Land]]-TblExplore[[#This Row],[Land Bonus]]*20</f>
        <v>50</v>
      </c>
      <c r="AF67" s="94">
        <f ca="1">ROUND(MAX(0.6*TblExplore[[#This Row],[Land-DB]]^1.299,850)*(1+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174</v>
      </c>
    </row>
    <row r="68" spans="1:36" x14ac:dyDescent="0.2">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45817.666666666511</v>
      </c>
      <c r="AB68" s="94">
        <f ca="1">TblMili[[#This Row],[Draftees]]</f>
        <v>524</v>
      </c>
      <c r="AC68" s="94">
        <f ca="1">TblProd[[#This Row],[Platinum]]</f>
        <v>180183</v>
      </c>
      <c r="AD68" s="215"/>
      <c r="AE68" s="45">
        <f ca="1">TblExplore[[#This Row],[Land]]-TblExplore[[#This Row],[Land Bonus]]*20</f>
        <v>50</v>
      </c>
      <c r="AF68" s="94">
        <f ca="1">ROUND(MAX(0.6*TblExplore[[#This Row],[Land-DB]]^1.299,850)*(1+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174</v>
      </c>
    </row>
    <row r="69" spans="1:36" x14ac:dyDescent="0.2">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45817.708333333176</v>
      </c>
      <c r="AB69" s="94">
        <f ca="1">TblMili[[#This Row],[Draftees]]</f>
        <v>526</v>
      </c>
      <c r="AC69" s="94">
        <f ca="1">TblProd[[#This Row],[Platinum]]</f>
        <v>180844</v>
      </c>
      <c r="AD69" s="215"/>
      <c r="AE69" s="45">
        <f ca="1">TblExplore[[#This Row],[Land]]-TblExplore[[#This Row],[Land Bonus]]*20</f>
        <v>50</v>
      </c>
      <c r="AF69" s="94">
        <f ca="1">ROUND(MAX(0.6*TblExplore[[#This Row],[Land-DB]]^1.299,850)*(1+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175</v>
      </c>
    </row>
    <row r="70" spans="1:36" x14ac:dyDescent="0.2">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45817.74999999984</v>
      </c>
      <c r="AB70" s="94">
        <f ca="1">TblMili[[#This Row],[Draftees]]</f>
        <v>528</v>
      </c>
      <c r="AC70" s="94">
        <f ca="1">TblProd[[#This Row],[Platinum]]</f>
        <v>181500</v>
      </c>
      <c r="AD70" s="215"/>
      <c r="AE70" s="45">
        <f ca="1">TblExplore[[#This Row],[Land]]-TblExplore[[#This Row],[Land Bonus]]*20</f>
        <v>50</v>
      </c>
      <c r="AF70" s="94">
        <f ca="1">ROUND(MAX(0.6*TblExplore[[#This Row],[Land-DB]]^1.299,850)*(1+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176</v>
      </c>
    </row>
    <row r="71" spans="1:36" x14ac:dyDescent="0.2">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45817.791666666504</v>
      </c>
      <c r="AB71" s="94">
        <f ca="1">TblMili[[#This Row],[Draftees]]</f>
        <v>530</v>
      </c>
      <c r="AC71" s="94">
        <f ca="1">TblProd[[#This Row],[Platinum]]</f>
        <v>182150</v>
      </c>
      <c r="AD71" s="215"/>
      <c r="AE71" s="45">
        <f ca="1">TblExplore[[#This Row],[Land]]-TblExplore[[#This Row],[Land Bonus]]*20</f>
        <v>50</v>
      </c>
      <c r="AF71" s="94">
        <f ca="1">ROUND(MAX(0.6*TblExplore[[#This Row],[Land-DB]]^1.299,850)*(1+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176</v>
      </c>
    </row>
    <row r="72" spans="1:36" x14ac:dyDescent="0.2">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45817.833333333168</v>
      </c>
      <c r="AB72" s="94">
        <f ca="1">TblMili[[#This Row],[Draftees]]</f>
        <v>532</v>
      </c>
      <c r="AC72" s="94">
        <f ca="1">TblProd[[#This Row],[Platinum]]</f>
        <v>182795</v>
      </c>
      <c r="AD72" s="215"/>
      <c r="AE72" s="45">
        <f ca="1">TblExplore[[#This Row],[Land]]-TblExplore[[#This Row],[Land Bonus]]*20</f>
        <v>50</v>
      </c>
      <c r="AF72" s="94">
        <f ca="1">ROUND(MAX(0.6*TblExplore[[#This Row],[Land-DB]]^1.299,850)*(1+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177</v>
      </c>
    </row>
    <row r="73" spans="1:36" x14ac:dyDescent="0.2">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45817.874999999833</v>
      </c>
      <c r="AB73" s="94">
        <f ca="1">TblMili[[#This Row],[Draftees]]</f>
        <v>534</v>
      </c>
      <c r="AC73" s="94">
        <f ca="1">TblProd[[#This Row],[Platinum]]</f>
        <v>183434</v>
      </c>
      <c r="AD73" s="215"/>
      <c r="AE73" s="45">
        <f ca="1">TblExplore[[#This Row],[Land]]-TblExplore[[#This Row],[Land Bonus]]*20</f>
        <v>50</v>
      </c>
      <c r="AF73" s="94">
        <f ca="1">ROUND(MAX(0.6*TblExplore[[#This Row],[Land-DB]]^1.299,850)*(1+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178</v>
      </c>
    </row>
    <row r="74" spans="1:36" x14ac:dyDescent="0.2">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45817.916666666497</v>
      </c>
      <c r="AB74" s="94">
        <f ca="1">TblMili[[#This Row],[Draftees]]</f>
        <v>536</v>
      </c>
      <c r="AC74" s="94">
        <f ca="1">TblProd[[#This Row],[Platinum]]</f>
        <v>184068</v>
      </c>
      <c r="AD74" s="215"/>
      <c r="AE74" s="45">
        <f ca="1">TblExplore[[#This Row],[Land]]-TblExplore[[#This Row],[Land Bonus]]*20</f>
        <v>50</v>
      </c>
      <c r="AF74" s="94">
        <f ca="1">ROUND(MAX(0.6*TblExplore[[#This Row],[Land-DB]]^1.299,850)*(1+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178</v>
      </c>
    </row>
    <row r="75" spans="1:36" x14ac:dyDescent="0.2">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45817.958333333161</v>
      </c>
      <c r="AB75" s="94">
        <f ca="1">TblMili[[#This Row],[Draftees]]</f>
        <v>538</v>
      </c>
      <c r="AC75" s="94">
        <f ca="1">TblProd[[#This Row],[Platinum]]</f>
        <v>184697</v>
      </c>
      <c r="AD75" s="215"/>
      <c r="AE75" s="45">
        <f ca="1">TblExplore[[#This Row],[Land]]-TblExplore[[#This Row],[Land Bonus]]*20</f>
        <v>50</v>
      </c>
      <c r="AF75" s="94">
        <f ca="1">ROUND(MAX(0.6*TblExplore[[#This Row],[Land-DB]]^1.299,850)*(1+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179</v>
      </c>
    </row>
    <row r="76" spans="1:36" x14ac:dyDescent="0.2">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45817.999999999825</v>
      </c>
      <c r="AB76" s="430">
        <f ca="1">TblMili[[#This Row],[Draftees]]</f>
        <v>540</v>
      </c>
      <c r="AC76" s="430">
        <f ca="1">TblProd[[#This Row],[Platinum]]</f>
        <v>185320</v>
      </c>
      <c r="AD76" s="215"/>
      <c r="AE76" s="433">
        <f ca="1">TblExplore[[#This Row],[Land]]-TblExplore[[#This Row],[Land Bonus]]*20</f>
        <v>50</v>
      </c>
      <c r="AF76" s="430">
        <f ca="1">ROUND(MAX(0.6*TblExplore[[#This Row],[Land-DB]]^1.299,850)*(1+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180</v>
      </c>
    </row>
    <row r="77" spans="1:36" x14ac:dyDescent="0.2">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45818.04166666649</v>
      </c>
      <c r="AB77" s="94">
        <f ca="1">TblMili[[#This Row],[Draftees]]</f>
        <v>542</v>
      </c>
      <c r="AC77" s="94">
        <f ca="1">TblProd[[#This Row],[Platinum]]</f>
        <v>185938</v>
      </c>
      <c r="AD77" s="215"/>
      <c r="AE77" s="45">
        <f ca="1">TblExplore[[#This Row],[Land]]-TblExplore[[#This Row],[Land Bonus]]*20</f>
        <v>50</v>
      </c>
      <c r="AF77" s="94">
        <f ca="1">ROUND(MAX(0.6*TblExplore[[#This Row],[Land-DB]]^1.299,850)*(1+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180</v>
      </c>
    </row>
    <row r="78" spans="1:36" x14ac:dyDescent="0.2">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45818.083333333154</v>
      </c>
      <c r="AB78" s="94">
        <f ca="1">TblMili[[#This Row],[Draftees]]</f>
        <v>544</v>
      </c>
      <c r="AC78" s="94">
        <f ca="1">TblProd[[#This Row],[Platinum]]</f>
        <v>186550</v>
      </c>
      <c r="AD78" s="215"/>
      <c r="AE78" s="45">
        <f ca="1">TblExplore[[#This Row],[Land]]-TblExplore[[#This Row],[Land Bonus]]*20</f>
        <v>50</v>
      </c>
      <c r="AF78" s="94">
        <f ca="1">ROUND(MAX(0.6*TblExplore[[#This Row],[Land-DB]]^1.299,850)*(1+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181</v>
      </c>
    </row>
    <row r="79" spans="1:36" x14ac:dyDescent="0.2">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45818.124999999818</v>
      </c>
      <c r="AB79" s="94">
        <f ca="1">TblMili[[#This Row],[Draftees]]</f>
        <v>546</v>
      </c>
      <c r="AC79" s="94">
        <f ca="1">TblProd[[#This Row],[Platinum]]</f>
        <v>187157</v>
      </c>
      <c r="AD79" s="215"/>
      <c r="AE79" s="45">
        <f ca="1">TblExplore[[#This Row],[Land]]-TblExplore[[#This Row],[Land Bonus]]*20</f>
        <v>50</v>
      </c>
      <c r="AF79" s="94">
        <f ca="1">ROUND(MAX(0.6*TblExplore[[#This Row],[Land-DB]]^1.299,850)*(1+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182</v>
      </c>
    </row>
    <row r="80" spans="1:36" x14ac:dyDescent="0.2">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45818.166666666482</v>
      </c>
      <c r="AB80" s="94">
        <f ca="1">TblMili[[#This Row],[Draftees]]</f>
        <v>548</v>
      </c>
      <c r="AC80" s="94">
        <f ca="1">TblProd[[#This Row],[Platinum]]</f>
        <v>187759</v>
      </c>
      <c r="AD80" s="215"/>
      <c r="AE80" s="45">
        <f ca="1">TblExplore[[#This Row],[Land]]-TblExplore[[#This Row],[Land Bonus]]*20</f>
        <v>50</v>
      </c>
      <c r="AF80" s="94">
        <f ca="1">ROUND(MAX(0.6*TblExplore[[#This Row],[Land-DB]]^1.299,850)*(1+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182</v>
      </c>
    </row>
    <row r="81" spans="1:36" x14ac:dyDescent="0.2">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45818.208333333147</v>
      </c>
      <c r="AB81" s="94">
        <f ca="1">TblMili[[#This Row],[Draftees]]</f>
        <v>550</v>
      </c>
      <c r="AC81" s="94">
        <f ca="1">TblProd[[#This Row],[Platinum]]</f>
        <v>188355</v>
      </c>
      <c r="AD81" s="215"/>
      <c r="AE81" s="45">
        <f ca="1">TblExplore[[#This Row],[Land]]-TblExplore[[#This Row],[Land Bonus]]*20</f>
        <v>50</v>
      </c>
      <c r="AF81" s="94">
        <f ca="1">ROUND(MAX(0.6*TblExplore[[#This Row],[Land-DB]]^1.299,850)*(1+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183</v>
      </c>
    </row>
    <row r="82" spans="1:36" x14ac:dyDescent="0.2">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45818.249999999811</v>
      </c>
      <c r="AB82" s="94">
        <f ca="1">TblMili[[#This Row],[Draftees]]</f>
        <v>552</v>
      </c>
      <c r="AC82" s="94">
        <f ca="1">TblProd[[#This Row],[Platinum]]</f>
        <v>188946</v>
      </c>
      <c r="AD82" s="215"/>
      <c r="AE82" s="45">
        <f ca="1">TblExplore[[#This Row],[Land]]-TblExplore[[#This Row],[Land Bonus]]*20</f>
        <v>50</v>
      </c>
      <c r="AF82" s="94">
        <f ca="1">ROUND(MAX(0.6*TblExplore[[#This Row],[Land-DB]]^1.299,850)*(1+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184</v>
      </c>
    </row>
    <row r="83" spans="1:36" x14ac:dyDescent="0.2">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45818.291666666475</v>
      </c>
      <c r="AB83" s="94">
        <f ca="1">TblMili[[#This Row],[Draftees]]</f>
        <v>554</v>
      </c>
      <c r="AC83" s="94">
        <f ca="1">TblProd[[#This Row],[Platinum]]</f>
        <v>189531</v>
      </c>
      <c r="AD83" s="215"/>
      <c r="AE83" s="45">
        <f ca="1">TblExplore[[#This Row],[Land]]-TblExplore[[#This Row],[Land Bonus]]*20</f>
        <v>50</v>
      </c>
      <c r="AF83" s="94">
        <f ca="1">ROUND(MAX(0.6*TblExplore[[#This Row],[Land-DB]]^1.299,850)*(1+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184</v>
      </c>
    </row>
    <row r="84" spans="1:36" x14ac:dyDescent="0.2">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45818.333333333139</v>
      </c>
      <c r="AB84" s="94">
        <f ca="1">TblMili[[#This Row],[Draftees]]</f>
        <v>556</v>
      </c>
      <c r="AC84" s="94">
        <f ca="1">TblProd[[#This Row],[Platinum]]</f>
        <v>190111</v>
      </c>
      <c r="AD84" s="215"/>
      <c r="AE84" s="45">
        <f ca="1">TblExplore[[#This Row],[Land]]-TblExplore[[#This Row],[Land Bonus]]*20</f>
        <v>50</v>
      </c>
      <c r="AF84" s="94">
        <f ca="1">ROUND(MAX(0.6*TblExplore[[#This Row],[Land-DB]]^1.299,850)*(1+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185</v>
      </c>
    </row>
    <row r="85" spans="1:36" x14ac:dyDescent="0.2">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45818.374999999804</v>
      </c>
      <c r="AB85" s="94">
        <f ca="1">TblMili[[#This Row],[Draftees]]</f>
        <v>558</v>
      </c>
      <c r="AC85" s="94">
        <f ca="1">TblProd[[#This Row],[Platinum]]</f>
        <v>190686</v>
      </c>
      <c r="AD85" s="215"/>
      <c r="AE85" s="45">
        <f ca="1">TblExplore[[#This Row],[Land]]-TblExplore[[#This Row],[Land Bonus]]*20</f>
        <v>50</v>
      </c>
      <c r="AF85" s="94">
        <f ca="1">ROUND(MAX(0.6*TblExplore[[#This Row],[Land-DB]]^1.299,850)*(1+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186</v>
      </c>
    </row>
    <row r="86" spans="1:36" x14ac:dyDescent="0.2">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45818.416666666468</v>
      </c>
      <c r="AB86" s="94">
        <f ca="1">TblMili[[#This Row],[Draftees]]</f>
        <v>560</v>
      </c>
      <c r="AC86" s="94">
        <f ca="1">TblProd[[#This Row],[Platinum]]</f>
        <v>191255</v>
      </c>
      <c r="AD86" s="215"/>
      <c r="AE86" s="45">
        <f ca="1">TblExplore[[#This Row],[Land]]-TblExplore[[#This Row],[Land Bonus]]*20</f>
        <v>50</v>
      </c>
      <c r="AF86" s="94">
        <f ca="1">ROUND(MAX(0.6*TblExplore[[#This Row],[Land-DB]]^1.299,850)*(1+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186</v>
      </c>
    </row>
    <row r="87" spans="1:36" x14ac:dyDescent="0.2">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45818.458333333132</v>
      </c>
      <c r="AB87" s="94">
        <f ca="1">TblMili[[#This Row],[Draftees]]</f>
        <v>562</v>
      </c>
      <c r="AC87" s="94">
        <f ca="1">TblProd[[#This Row],[Platinum]]</f>
        <v>191819</v>
      </c>
      <c r="AD87" s="215"/>
      <c r="AE87" s="45">
        <f ca="1">TblExplore[[#This Row],[Land]]-TblExplore[[#This Row],[Land Bonus]]*20</f>
        <v>50</v>
      </c>
      <c r="AF87" s="94">
        <f ca="1">ROUND(MAX(0.6*TblExplore[[#This Row],[Land-DB]]^1.299,850)*(1+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187</v>
      </c>
    </row>
    <row r="88" spans="1:36" x14ac:dyDescent="0.2">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45818.499999999796</v>
      </c>
      <c r="AB88" s="94">
        <f ca="1">TblMili[[#This Row],[Draftees]]</f>
        <v>564</v>
      </c>
      <c r="AC88" s="94">
        <f ca="1">TblProd[[#This Row],[Platinum]]</f>
        <v>192377</v>
      </c>
      <c r="AD88" s="215"/>
      <c r="AE88" s="45">
        <f ca="1">TblExplore[[#This Row],[Land]]-TblExplore[[#This Row],[Land Bonus]]*20</f>
        <v>50</v>
      </c>
      <c r="AF88" s="94">
        <f ca="1">ROUND(MAX(0.6*TblExplore[[#This Row],[Land-DB]]^1.299,850)*(1+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188</v>
      </c>
    </row>
    <row r="89" spans="1:36" x14ac:dyDescent="0.2">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45818.541666666461</v>
      </c>
      <c r="AB89" s="94">
        <f ca="1">TblMili[[#This Row],[Draftees]]</f>
        <v>566</v>
      </c>
      <c r="AC89" s="94">
        <f ca="1">TblProd[[#This Row],[Platinum]]</f>
        <v>192930</v>
      </c>
      <c r="AD89" s="215"/>
      <c r="AE89" s="45">
        <f ca="1">TblExplore[[#This Row],[Land]]-TblExplore[[#This Row],[Land Bonus]]*20</f>
        <v>50</v>
      </c>
      <c r="AF89" s="94">
        <f ca="1">ROUND(MAX(0.6*TblExplore[[#This Row],[Land-DB]]^1.299,850)*(1+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188</v>
      </c>
    </row>
    <row r="90" spans="1:36" x14ac:dyDescent="0.2">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45818.583333333125</v>
      </c>
      <c r="AB90" s="94">
        <f ca="1">TblMili[[#This Row],[Draftees]]</f>
        <v>568</v>
      </c>
      <c r="AC90" s="94">
        <f ca="1">TblProd[[#This Row],[Platinum]]</f>
        <v>193478</v>
      </c>
      <c r="AD90" s="215"/>
      <c r="AE90" s="45">
        <f ca="1">TblExplore[[#This Row],[Land]]-TblExplore[[#This Row],[Land Bonus]]*20</f>
        <v>50</v>
      </c>
      <c r="AF90" s="94">
        <f ca="1">ROUND(MAX(0.6*TblExplore[[#This Row],[Land-DB]]^1.299,850)*(1+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189</v>
      </c>
    </row>
    <row r="91" spans="1:36" x14ac:dyDescent="0.2">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45818.624999999789</v>
      </c>
      <c r="AB91" s="94">
        <f ca="1">TblMili[[#This Row],[Draftees]]</f>
        <v>570</v>
      </c>
      <c r="AC91" s="94">
        <f ca="1">TblProd[[#This Row],[Platinum]]</f>
        <v>194020</v>
      </c>
      <c r="AD91" s="215"/>
      <c r="AE91" s="45">
        <f ca="1">TblExplore[[#This Row],[Land]]-TblExplore[[#This Row],[Land Bonus]]*20</f>
        <v>50</v>
      </c>
      <c r="AF91" s="94">
        <f ca="1">ROUND(MAX(0.6*TblExplore[[#This Row],[Land-DB]]^1.299,850)*(1+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190</v>
      </c>
    </row>
    <row r="92" spans="1:36" x14ac:dyDescent="0.2">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45818.666666666453</v>
      </c>
      <c r="AB92" s="94">
        <f ca="1">TblMili[[#This Row],[Draftees]]</f>
        <v>572</v>
      </c>
      <c r="AC92" s="94">
        <f ca="1">TblProd[[#This Row],[Platinum]]</f>
        <v>194557</v>
      </c>
      <c r="AD92" s="215"/>
      <c r="AE92" s="45">
        <f ca="1">TblExplore[[#This Row],[Land]]-TblExplore[[#This Row],[Land Bonus]]*20</f>
        <v>50</v>
      </c>
      <c r="AF92" s="94">
        <f ca="1">ROUND(MAX(0.6*TblExplore[[#This Row],[Land-DB]]^1.299,850)*(1+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190</v>
      </c>
    </row>
    <row r="93" spans="1:36" x14ac:dyDescent="0.2">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45818.708333333117</v>
      </c>
      <c r="AB93" s="94">
        <f ca="1">TblMili[[#This Row],[Draftees]]</f>
        <v>574</v>
      </c>
      <c r="AC93" s="94">
        <f ca="1">TblProd[[#This Row],[Platinum]]</f>
        <v>195088</v>
      </c>
      <c r="AD93" s="215"/>
      <c r="AE93" s="45">
        <f ca="1">TblExplore[[#This Row],[Land]]-TblExplore[[#This Row],[Land Bonus]]*20</f>
        <v>50</v>
      </c>
      <c r="AF93" s="94">
        <f ca="1">ROUND(MAX(0.6*TblExplore[[#This Row],[Land-DB]]^1.299,850)*(1+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191</v>
      </c>
    </row>
    <row r="94" spans="1:36" x14ac:dyDescent="0.2">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45818.749999999782</v>
      </c>
      <c r="AB94" s="94">
        <f ca="1">TblMili[[#This Row],[Draftees]]</f>
        <v>576</v>
      </c>
      <c r="AC94" s="94">
        <f ca="1">TblProd[[#This Row],[Platinum]]</f>
        <v>195614</v>
      </c>
      <c r="AD94" s="215"/>
      <c r="AE94" s="45">
        <f ca="1">TblExplore[[#This Row],[Land]]-TblExplore[[#This Row],[Land Bonus]]*20</f>
        <v>50</v>
      </c>
      <c r="AF94" s="94">
        <f ca="1">ROUND(MAX(0.6*TblExplore[[#This Row],[Land-DB]]^1.299,850)*(1+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192</v>
      </c>
    </row>
    <row r="95" spans="1:36" x14ac:dyDescent="0.2">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45818.791666666446</v>
      </c>
      <c r="AB95" s="94">
        <f ca="1">TblMili[[#This Row],[Draftees]]</f>
        <v>578</v>
      </c>
      <c r="AC95" s="94">
        <f ca="1">TblProd[[#This Row],[Platinum]]</f>
        <v>196135</v>
      </c>
      <c r="AD95" s="215"/>
      <c r="AE95" s="45">
        <f ca="1">TblExplore[[#This Row],[Land]]-TblExplore[[#This Row],[Land Bonus]]*20</f>
        <v>50</v>
      </c>
      <c r="AF95" s="94">
        <f ca="1">ROUND(MAX(0.6*TblExplore[[#This Row],[Land-DB]]^1.299,850)*(1+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192</v>
      </c>
    </row>
    <row r="96" spans="1:36" x14ac:dyDescent="0.2">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45818.83333333311</v>
      </c>
      <c r="AB96" s="94">
        <f ca="1">TblMili[[#This Row],[Draftees]]</f>
        <v>580</v>
      </c>
      <c r="AC96" s="94">
        <f ca="1">TblProd[[#This Row],[Platinum]]</f>
        <v>196650</v>
      </c>
      <c r="AD96" s="215"/>
      <c r="AE96" s="45">
        <f ca="1">TblExplore[[#This Row],[Land]]-TblExplore[[#This Row],[Land Bonus]]*20</f>
        <v>50</v>
      </c>
      <c r="AF96" s="94">
        <f ca="1">ROUND(MAX(0.6*TblExplore[[#This Row],[Land-DB]]^1.299,850)*(1+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193</v>
      </c>
    </row>
    <row r="97" spans="1:36" x14ac:dyDescent="0.2">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45818.874999999774</v>
      </c>
      <c r="AB97" s="94">
        <f ca="1">TblMili[[#This Row],[Draftees]]</f>
        <v>582</v>
      </c>
      <c r="AC97" s="94">
        <f ca="1">TblProd[[#This Row],[Platinum]]</f>
        <v>197160</v>
      </c>
      <c r="AD97" s="215"/>
      <c r="AE97" s="45">
        <f ca="1">TblExplore[[#This Row],[Land]]-TblExplore[[#This Row],[Land Bonus]]*20</f>
        <v>50</v>
      </c>
      <c r="AF97" s="94">
        <f ca="1">ROUND(MAX(0.6*TblExplore[[#This Row],[Land-DB]]^1.299,850)*(1+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194</v>
      </c>
    </row>
    <row r="98" spans="1:36" x14ac:dyDescent="0.2">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45818.916666666439</v>
      </c>
      <c r="AB98" s="94">
        <f ca="1">TblMili[[#This Row],[Draftees]]</f>
        <v>584</v>
      </c>
      <c r="AC98" s="94">
        <f ca="1">TblProd[[#This Row],[Platinum]]</f>
        <v>197664</v>
      </c>
      <c r="AD98" s="215"/>
      <c r="AE98" s="45">
        <f ca="1">TblExplore[[#This Row],[Land]]-TblExplore[[#This Row],[Land Bonus]]*20</f>
        <v>50</v>
      </c>
      <c r="AF98" s="94">
        <f ca="1">ROUND(MAX(0.6*TblExplore[[#This Row],[Land-DB]]^1.299,850)*(1+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194</v>
      </c>
    </row>
    <row r="99" spans="1:36" x14ac:dyDescent="0.2">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45818.958333333103</v>
      </c>
      <c r="AB99" s="94">
        <f ca="1">TblMili[[#This Row],[Draftees]]</f>
        <v>586</v>
      </c>
      <c r="AC99" s="94">
        <f ca="1">TblProd[[#This Row],[Platinum]]</f>
        <v>198163</v>
      </c>
      <c r="AD99" s="215"/>
      <c r="AE99" s="45">
        <f ca="1">TblExplore[[#This Row],[Land]]-TblExplore[[#This Row],[Land Bonus]]*20</f>
        <v>50</v>
      </c>
      <c r="AF99" s="94">
        <f ca="1">ROUND(MAX(0.6*TblExplore[[#This Row],[Land-DB]]^1.299,850)*(1+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195</v>
      </c>
    </row>
    <row r="100" spans="1:36" x14ac:dyDescent="0.2">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45818.999999999767</v>
      </c>
      <c r="AB100" s="94">
        <f ca="1">TblMili[[#This Row],[Draftees]]</f>
        <v>588</v>
      </c>
      <c r="AC100" s="94">
        <f ca="1">TblProd[[#This Row],[Platinum]]</f>
        <v>198657</v>
      </c>
      <c r="AD100" s="215"/>
      <c r="AE100" s="45">
        <f ca="1">TblExplore[[#This Row],[Land]]-TblExplore[[#This Row],[Land Bonus]]*20</f>
        <v>50</v>
      </c>
      <c r="AF100" s="94">
        <f ca="1">ROUND(MAX(0.6*TblExplore[[#This Row],[Land-DB]]^1.299,850)*(1+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196</v>
      </c>
    </row>
    <row r="101" spans="1:36" x14ac:dyDescent="0.2">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45819.041666666431</v>
      </c>
      <c r="AB101" s="94">
        <f ca="1">TblMili[[#This Row],[Draftees]]</f>
        <v>590</v>
      </c>
      <c r="AC101" s="94">
        <f ca="1">TblProd[[#This Row],[Platinum]]</f>
        <v>199145</v>
      </c>
      <c r="AD101" s="215"/>
      <c r="AE101" s="45">
        <f ca="1">TblExplore[[#This Row],[Land]]-TblExplore[[#This Row],[Land Bonus]]*20</f>
        <v>50</v>
      </c>
      <c r="AF101" s="94">
        <f ca="1">ROUND(MAX(0.6*TblExplore[[#This Row],[Land-DB]]^1.299,850)*(1+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196</v>
      </c>
    </row>
    <row r="102" spans="1:36" x14ac:dyDescent="0.2">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45819.083333333096</v>
      </c>
      <c r="AB102" s="94">
        <f ca="1">TblMili[[#This Row],[Draftees]]</f>
        <v>592</v>
      </c>
      <c r="AC102" s="94">
        <f ca="1">TblProd[[#This Row],[Platinum]]</f>
        <v>199628</v>
      </c>
      <c r="AD102" s="215"/>
      <c r="AE102" s="45">
        <f ca="1">TblExplore[[#This Row],[Land]]-TblExplore[[#This Row],[Land Bonus]]*20</f>
        <v>50</v>
      </c>
      <c r="AF102" s="94">
        <f ca="1">ROUND(MAX(0.6*TblExplore[[#This Row],[Land-DB]]^1.299,850)*(1+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197</v>
      </c>
    </row>
    <row r="103" spans="1:36" x14ac:dyDescent="0.2">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45819.12499999976</v>
      </c>
      <c r="AB103" s="94">
        <f ca="1">TblMili[[#This Row],[Draftees]]</f>
        <v>594</v>
      </c>
      <c r="AC103" s="94">
        <f ca="1">TblProd[[#This Row],[Platinum]]</f>
        <v>200105</v>
      </c>
      <c r="AD103" s="215"/>
      <c r="AE103" s="45">
        <f ca="1">TblExplore[[#This Row],[Land]]-TblExplore[[#This Row],[Land Bonus]]*20</f>
        <v>50</v>
      </c>
      <c r="AF103" s="94">
        <f ca="1">ROUND(MAX(0.6*TblExplore[[#This Row],[Land-DB]]^1.299,850)*(1+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198</v>
      </c>
    </row>
    <row r="104" spans="1:36" x14ac:dyDescent="0.2">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45819.166666666424</v>
      </c>
      <c r="AB104" s="94">
        <f ca="1">TblMili[[#This Row],[Draftees]]</f>
        <v>596</v>
      </c>
      <c r="AC104" s="94">
        <f ca="1">TblProd[[#This Row],[Platinum]]</f>
        <v>200577</v>
      </c>
      <c r="AD104" s="215"/>
      <c r="AE104" s="45">
        <f ca="1">TblExplore[[#This Row],[Land]]-TblExplore[[#This Row],[Land Bonus]]*20</f>
        <v>50</v>
      </c>
      <c r="AF104" s="94">
        <f ca="1">ROUND(MAX(0.6*TblExplore[[#This Row],[Land-DB]]^1.299,850)*(1+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198</v>
      </c>
    </row>
    <row r="105" spans="1:36" x14ac:dyDescent="0.2">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45819.208333333088</v>
      </c>
      <c r="AB105" s="94">
        <f ca="1">TblMili[[#This Row],[Draftees]]</f>
        <v>598</v>
      </c>
      <c r="AC105" s="94">
        <f ca="1">TblProd[[#This Row],[Platinum]]</f>
        <v>201044</v>
      </c>
      <c r="AD105" s="215"/>
      <c r="AE105" s="45">
        <f ca="1">TblExplore[[#This Row],[Land]]-TblExplore[[#This Row],[Land Bonus]]*20</f>
        <v>50</v>
      </c>
      <c r="AF105" s="94">
        <f ca="1">ROUND(MAX(0.6*TblExplore[[#This Row],[Land-DB]]^1.299,850)*(1+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199</v>
      </c>
    </row>
    <row r="106" spans="1:36" x14ac:dyDescent="0.2">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45819.249999999753</v>
      </c>
      <c r="AB106" s="94">
        <f ca="1">TblMili[[#This Row],[Draftees]]</f>
        <v>600</v>
      </c>
      <c r="AC106" s="94">
        <f ca="1">TblProd[[#This Row],[Platinum]]</f>
        <v>201505</v>
      </c>
      <c r="AD106" s="215"/>
      <c r="AE106" s="45">
        <f ca="1">TblExplore[[#This Row],[Land]]-TblExplore[[#This Row],[Land Bonus]]*20</f>
        <v>50</v>
      </c>
      <c r="AF106" s="94">
        <f ca="1">ROUND(MAX(0.6*TblExplore[[#This Row],[Land-DB]]^1.299,850)*(1+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200</v>
      </c>
    </row>
    <row r="107" spans="1:36" x14ac:dyDescent="0.2">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45819.291666666417</v>
      </c>
      <c r="AB107" s="94">
        <f ca="1">TblMili[[#This Row],[Draftees]]</f>
        <v>602</v>
      </c>
      <c r="AC107" s="94">
        <f ca="1">TblProd[[#This Row],[Platinum]]</f>
        <v>201961</v>
      </c>
      <c r="AD107" s="215"/>
      <c r="AE107" s="45">
        <f ca="1">TblExplore[[#This Row],[Land]]-TblExplore[[#This Row],[Land Bonus]]*20</f>
        <v>50</v>
      </c>
      <c r="AF107" s="94">
        <f ca="1">ROUND(MAX(0.6*TblExplore[[#This Row],[Land-DB]]^1.299,850)*(1+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200</v>
      </c>
    </row>
    <row r="108" spans="1:36" x14ac:dyDescent="0.2">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45819.333333333081</v>
      </c>
      <c r="AB108" s="94">
        <f ca="1">TblMili[[#This Row],[Draftees]]</f>
        <v>604</v>
      </c>
      <c r="AC108" s="94">
        <f ca="1">TblProd[[#This Row],[Platinum]]</f>
        <v>202411</v>
      </c>
      <c r="AD108" s="215"/>
      <c r="AE108" s="45">
        <f ca="1">TblExplore[[#This Row],[Land]]-TblExplore[[#This Row],[Land Bonus]]*20</f>
        <v>50</v>
      </c>
      <c r="AF108" s="94">
        <f ca="1">ROUND(MAX(0.6*TblExplore[[#This Row],[Land-DB]]^1.299,850)*(1+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201</v>
      </c>
    </row>
    <row r="109" spans="1:36" x14ac:dyDescent="0.2">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45819.374999999745</v>
      </c>
      <c r="AB109" s="94">
        <f ca="1">TblMili[[#This Row],[Draftees]]</f>
        <v>606</v>
      </c>
      <c r="AC109" s="94">
        <f ca="1">TblProd[[#This Row],[Platinum]]</f>
        <v>202856</v>
      </c>
      <c r="AD109" s="215"/>
      <c r="AE109" s="45">
        <f ca="1">TblExplore[[#This Row],[Land]]-TblExplore[[#This Row],[Land Bonus]]*20</f>
        <v>50</v>
      </c>
      <c r="AF109" s="94">
        <f ca="1">ROUND(MAX(0.6*TblExplore[[#This Row],[Land-DB]]^1.299,850)*(1+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202</v>
      </c>
    </row>
    <row r="110" spans="1:36" x14ac:dyDescent="0.2">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45819.41666666641</v>
      </c>
      <c r="AB110" s="94">
        <f ca="1">TblMili[[#This Row],[Draftees]]</f>
        <v>608</v>
      </c>
      <c r="AC110" s="94">
        <f ca="1">TblProd[[#This Row],[Platinum]]</f>
        <v>203296</v>
      </c>
      <c r="AD110" s="215"/>
      <c r="AE110" s="45">
        <f ca="1">TblExplore[[#This Row],[Land]]-TblExplore[[#This Row],[Land Bonus]]*20</f>
        <v>50</v>
      </c>
      <c r="AF110" s="94">
        <f ca="1">ROUND(MAX(0.6*TblExplore[[#This Row],[Land-DB]]^1.299,850)*(1+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202</v>
      </c>
    </row>
    <row r="111" spans="1:36" x14ac:dyDescent="0.2">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45819.458333333074</v>
      </c>
      <c r="AB111" s="94">
        <f ca="1">TblMili[[#This Row],[Draftees]]</f>
        <v>610</v>
      </c>
      <c r="AC111" s="94">
        <f ca="1">TblProd[[#This Row],[Platinum]]</f>
        <v>203730</v>
      </c>
      <c r="AD111" s="215"/>
      <c r="AE111" s="45">
        <f ca="1">TblExplore[[#This Row],[Land]]-TblExplore[[#This Row],[Land Bonus]]*20</f>
        <v>50</v>
      </c>
      <c r="AF111" s="94">
        <f ca="1">ROUND(MAX(0.6*TblExplore[[#This Row],[Land-DB]]^1.299,850)*(1+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203</v>
      </c>
    </row>
    <row r="112" spans="1:36" ht="12.75" customHeight="1" x14ac:dyDescent="0.2">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45819.499999999738</v>
      </c>
      <c r="AB112" s="94">
        <f ca="1">TblMili[[#This Row],[Draftees]]</f>
        <v>612</v>
      </c>
      <c r="AC112" s="94">
        <f ca="1">TblProd[[#This Row],[Platinum]]</f>
        <v>204159</v>
      </c>
      <c r="AD112" s="215"/>
      <c r="AE112" s="45">
        <f ca="1">TblExplore[[#This Row],[Land]]-TblExplore[[#This Row],[Land Bonus]]*20</f>
        <v>50</v>
      </c>
      <c r="AF112" s="94">
        <f ca="1">ROUND(MAX(0.6*TblExplore[[#This Row],[Land-DB]]^1.299,850)*(1+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204</v>
      </c>
    </row>
    <row r="113" spans="1:36" x14ac:dyDescent="0.2">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45819.541666666402</v>
      </c>
      <c r="AB113" s="94">
        <f ca="1">TblMili[[#This Row],[Draftees]]</f>
        <v>614</v>
      </c>
      <c r="AC113" s="94">
        <f ca="1">TblProd[[#This Row],[Platinum]]</f>
        <v>204582</v>
      </c>
      <c r="AD113" s="215"/>
      <c r="AE113" s="45">
        <f ca="1">TblExplore[[#This Row],[Land]]-TblExplore[[#This Row],[Land Bonus]]*20</f>
        <v>50</v>
      </c>
      <c r="AF113" s="94">
        <f ca="1">ROUND(MAX(0.6*TblExplore[[#This Row],[Land-DB]]^1.299,850)*(1+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204</v>
      </c>
    </row>
    <row r="114" spans="1:36" x14ac:dyDescent="0.2">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45819.583333333067</v>
      </c>
      <c r="AB114" s="94">
        <f ca="1">TblMili[[#This Row],[Draftees]]</f>
        <v>616</v>
      </c>
      <c r="AC114" s="94">
        <f ca="1">TblProd[[#This Row],[Platinum]]</f>
        <v>205000</v>
      </c>
      <c r="AD114" s="215"/>
      <c r="AE114" s="45">
        <f ca="1">TblExplore[[#This Row],[Land]]-TblExplore[[#This Row],[Land Bonus]]*20</f>
        <v>50</v>
      </c>
      <c r="AF114" s="94">
        <f ca="1">ROUND(MAX(0.6*TblExplore[[#This Row],[Land-DB]]^1.299,850)*(1+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205</v>
      </c>
    </row>
    <row r="115" spans="1:36" x14ac:dyDescent="0.2">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45819.624999999731</v>
      </c>
      <c r="AB115" s="94">
        <f ca="1">TblMili[[#This Row],[Draftees]]</f>
        <v>618</v>
      </c>
      <c r="AC115" s="94">
        <f ca="1">TblProd[[#This Row],[Platinum]]</f>
        <v>205413</v>
      </c>
      <c r="AD115" s="215"/>
      <c r="AE115" s="45">
        <f ca="1">TblExplore[[#This Row],[Land]]-TblExplore[[#This Row],[Land Bonus]]*20</f>
        <v>50</v>
      </c>
      <c r="AF115" s="94">
        <f ca="1">ROUND(MAX(0.6*TblExplore[[#This Row],[Land-DB]]^1.299,850)*(1+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206</v>
      </c>
    </row>
    <row r="116" spans="1:36" x14ac:dyDescent="0.2">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45819.666666666395</v>
      </c>
      <c r="AB116" s="94">
        <f ca="1">TblMili[[#This Row],[Draftees]]</f>
        <v>620</v>
      </c>
      <c r="AC116" s="94">
        <f ca="1">TblProd[[#This Row],[Platinum]]</f>
        <v>205820</v>
      </c>
      <c r="AD116" s="215"/>
      <c r="AE116" s="45">
        <f ca="1">TblExplore[[#This Row],[Land]]-TblExplore[[#This Row],[Land Bonus]]*20</f>
        <v>50</v>
      </c>
      <c r="AF116" s="94">
        <f ca="1">ROUND(MAX(0.6*TblExplore[[#This Row],[Land-DB]]^1.299,850)*(1+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206</v>
      </c>
    </row>
    <row r="117" spans="1:36" x14ac:dyDescent="0.2">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45819.708333333059</v>
      </c>
      <c r="AB117" s="94">
        <f ca="1">TblMili[[#This Row],[Draftees]]</f>
        <v>621</v>
      </c>
      <c r="AC117" s="94">
        <f ca="1">TblProd[[#This Row],[Platinum]]</f>
        <v>206222</v>
      </c>
      <c r="AD117" s="215"/>
      <c r="AE117" s="45">
        <f ca="1">TblExplore[[#This Row],[Land]]-TblExplore[[#This Row],[Land Bonus]]*20</f>
        <v>50</v>
      </c>
      <c r="AF117" s="94">
        <f ca="1">ROUND(MAX(0.6*TblExplore[[#This Row],[Land-DB]]^1.299,850)*(1+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207</v>
      </c>
    </row>
    <row r="118" spans="1:36" x14ac:dyDescent="0.2">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45819.749999999724</v>
      </c>
      <c r="AB118" s="94">
        <f ca="1">TblMili[[#This Row],[Draftees]]</f>
        <v>622</v>
      </c>
      <c r="AC118" s="94">
        <f ca="1">TblProd[[#This Row],[Platinum]]</f>
        <v>206621</v>
      </c>
      <c r="AD118" s="215"/>
      <c r="AE118" s="45">
        <f ca="1">TblExplore[[#This Row],[Land]]-TblExplore[[#This Row],[Land Bonus]]*20</f>
        <v>50</v>
      </c>
      <c r="AF118" s="94">
        <f ca="1">ROUND(MAX(0.6*TblExplore[[#This Row],[Land-DB]]^1.299,850)*(1+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207</v>
      </c>
    </row>
    <row r="119" spans="1:36" x14ac:dyDescent="0.2">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45819.791666666388</v>
      </c>
      <c r="AB119" s="94">
        <f ca="1">TblMili[[#This Row],[Draftees]]</f>
        <v>623</v>
      </c>
      <c r="AC119" s="94">
        <f ca="1">TblProd[[#This Row],[Platinum]]</f>
        <v>207017</v>
      </c>
      <c r="AD119" s="215"/>
      <c r="AE119" s="45">
        <f ca="1">TblExplore[[#This Row],[Land]]-TblExplore[[#This Row],[Land Bonus]]*20</f>
        <v>50</v>
      </c>
      <c r="AF119" s="94">
        <f ca="1">ROUND(MAX(0.6*TblExplore[[#This Row],[Land-DB]]^1.299,850)*(1+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207</v>
      </c>
    </row>
    <row r="120" spans="1:36" x14ac:dyDescent="0.2">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45819.833333333052</v>
      </c>
      <c r="AB120" s="94">
        <f ca="1">TblMili[[#This Row],[Draftees]]</f>
        <v>624</v>
      </c>
      <c r="AC120" s="94">
        <f ca="1">TblProd[[#This Row],[Platinum]]</f>
        <v>207411</v>
      </c>
      <c r="AD120" s="215"/>
      <c r="AE120" s="45">
        <f ca="1">TblExplore[[#This Row],[Land]]-TblExplore[[#This Row],[Land Bonus]]*20</f>
        <v>50</v>
      </c>
      <c r="AF120" s="94">
        <f ca="1">ROUND(MAX(0.6*TblExplore[[#This Row],[Land-DB]]^1.299,850)*(1+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208</v>
      </c>
    </row>
    <row r="121" spans="1:36" x14ac:dyDescent="0.2">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45819.874999999716</v>
      </c>
      <c r="AB121" s="94">
        <f ca="1">TblMili[[#This Row],[Draftees]]</f>
        <v>625</v>
      </c>
      <c r="AC121" s="94">
        <f ca="1">TblProd[[#This Row],[Platinum]]</f>
        <v>207802</v>
      </c>
      <c r="AD121" s="215"/>
      <c r="AE121" s="45">
        <f ca="1">TblExplore[[#This Row],[Land]]-TblExplore[[#This Row],[Land Bonus]]*20</f>
        <v>50</v>
      </c>
      <c r="AF121" s="94">
        <f ca="1">ROUND(MAX(0.6*TblExplore[[#This Row],[Land-DB]]^1.299,850)*(1+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208</v>
      </c>
    </row>
    <row r="122" spans="1:36" x14ac:dyDescent="0.2">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45819.91666666638</v>
      </c>
      <c r="AB122" s="94">
        <f ca="1">TblMili[[#This Row],[Draftees]]</f>
        <v>626</v>
      </c>
      <c r="AC122" s="94">
        <f ca="1">TblProd[[#This Row],[Platinum]]</f>
        <v>208190</v>
      </c>
      <c r="AD122" s="215"/>
      <c r="AE122" s="45">
        <f ca="1">TblExplore[[#This Row],[Land]]-TblExplore[[#This Row],[Land Bonus]]*20</f>
        <v>50</v>
      </c>
      <c r="AF122" s="94">
        <f ca="1">ROUND(MAX(0.6*TblExplore[[#This Row],[Land-DB]]^1.299,850)*(1+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208</v>
      </c>
    </row>
    <row r="123" spans="1:36" x14ac:dyDescent="0.2">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45819.958333333045</v>
      </c>
      <c r="AB123" s="94">
        <f ca="1">TblMili[[#This Row],[Draftees]]</f>
        <v>627</v>
      </c>
      <c r="AC123" s="94">
        <f ca="1">TblProd[[#This Row],[Platinum]]</f>
        <v>208576</v>
      </c>
      <c r="AD123" s="215"/>
      <c r="AE123" s="45">
        <f ca="1">TblExplore[[#This Row],[Land]]-TblExplore[[#This Row],[Land Bonus]]*20</f>
        <v>50</v>
      </c>
      <c r="AF123" s="94">
        <f ca="1">ROUND(MAX(0.6*TblExplore[[#This Row],[Land-DB]]^1.299,850)*(1+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209</v>
      </c>
    </row>
    <row r="124" spans="1:36" x14ac:dyDescent="0.2">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45819.999999999709</v>
      </c>
      <c r="AB124" s="94">
        <f ca="1">TblMili[[#This Row],[Draftees]]</f>
        <v>628</v>
      </c>
      <c r="AC124" s="94">
        <f ca="1">TblProd[[#This Row],[Platinum]]</f>
        <v>208959</v>
      </c>
      <c r="AD124" s="215"/>
      <c r="AE124" s="45">
        <f ca="1">TblExplore[[#This Row],[Land]]-TblExplore[[#This Row],[Land Bonus]]*20</f>
        <v>50</v>
      </c>
      <c r="AF124" s="94">
        <f ca="1">ROUND(MAX(0.6*TblExplore[[#This Row],[Land-DB]]^1.299,850)*(1+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209</v>
      </c>
    </row>
    <row r="125" spans="1:36" x14ac:dyDescent="0.2">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45820.041666666373</v>
      </c>
      <c r="AB125" s="94">
        <f ca="1">TblMili[[#This Row],[Draftees]]</f>
        <v>629</v>
      </c>
      <c r="AC125" s="94">
        <f ca="1">TblProd[[#This Row],[Platinum]]</f>
        <v>209339</v>
      </c>
      <c r="AD125" s="215"/>
      <c r="AE125" s="45">
        <f ca="1">TblExplore[[#This Row],[Land]]-TblExplore[[#This Row],[Land Bonus]]*20</f>
        <v>50</v>
      </c>
      <c r="AF125" s="94">
        <f ca="1">ROUND(MAX(0.6*TblExplore[[#This Row],[Land-DB]]^1.299,850)*(1+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209</v>
      </c>
    </row>
    <row r="126" spans="1:36" x14ac:dyDescent="0.2">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45820.083333333037</v>
      </c>
      <c r="AB126" s="94">
        <f ca="1">TblMili[[#This Row],[Draftees]]</f>
        <v>630</v>
      </c>
      <c r="AC126" s="94">
        <f ca="1">TblProd[[#This Row],[Platinum]]</f>
        <v>209717</v>
      </c>
      <c r="AD126" s="215"/>
      <c r="AE126" s="45">
        <f ca="1">TblExplore[[#This Row],[Land]]-TblExplore[[#This Row],[Land Bonus]]*20</f>
        <v>50</v>
      </c>
      <c r="AF126" s="94">
        <f ca="1">ROUND(MAX(0.6*TblExplore[[#This Row],[Land-DB]]^1.299,850)*(1+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210</v>
      </c>
    </row>
    <row r="127" spans="1:36" x14ac:dyDescent="0.2">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45820.124999999702</v>
      </c>
      <c r="AB127" s="94">
        <f ca="1">TblMili[[#This Row],[Draftees]]</f>
        <v>631</v>
      </c>
      <c r="AC127" s="94">
        <f ca="1">TblProd[[#This Row],[Platinum]]</f>
        <v>210092</v>
      </c>
      <c r="AD127" s="215"/>
      <c r="AE127" s="45">
        <f ca="1">TblExplore[[#This Row],[Land]]-TblExplore[[#This Row],[Land Bonus]]*20</f>
        <v>50</v>
      </c>
      <c r="AF127" s="94">
        <f ca="1">ROUND(MAX(0.6*TblExplore[[#This Row],[Land-DB]]^1.299,850)*(1+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210</v>
      </c>
    </row>
    <row r="128" spans="1:36" x14ac:dyDescent="0.2">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45820.166666666366</v>
      </c>
      <c r="AB128" s="94">
        <f ca="1">TblMili[[#This Row],[Draftees]]</f>
        <v>632</v>
      </c>
      <c r="AC128" s="94">
        <f ca="1">TblProd[[#This Row],[Platinum]]</f>
        <v>210464</v>
      </c>
      <c r="AD128" s="215"/>
      <c r="AE128" s="45">
        <f ca="1">TblExplore[[#This Row],[Land]]-TblExplore[[#This Row],[Land Bonus]]*20</f>
        <v>50</v>
      </c>
      <c r="AF128" s="94">
        <f ca="1">ROUND(MAX(0.6*TblExplore[[#This Row],[Land-DB]]^1.299,850)*(1+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210</v>
      </c>
    </row>
    <row r="129" spans="1:36" x14ac:dyDescent="0.2">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45820.20833333303</v>
      </c>
      <c r="AB129" s="94">
        <f ca="1">TblMili[[#This Row],[Draftees]]</f>
        <v>633</v>
      </c>
      <c r="AC129" s="94">
        <f ca="1">TblProd[[#This Row],[Platinum]]</f>
        <v>210833</v>
      </c>
      <c r="AD129" s="215"/>
      <c r="AE129" s="45">
        <f ca="1">TblExplore[[#This Row],[Land]]-TblExplore[[#This Row],[Land Bonus]]*20</f>
        <v>50</v>
      </c>
      <c r="AF129" s="94">
        <f ca="1">ROUND(MAX(0.6*TblExplore[[#This Row],[Land-DB]]^1.299,850)*(1+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211</v>
      </c>
    </row>
    <row r="130" spans="1:36" x14ac:dyDescent="0.2">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45820.249999999694</v>
      </c>
      <c r="AB130" s="94">
        <f ca="1">TblMili[[#This Row],[Draftees]]</f>
        <v>634</v>
      </c>
      <c r="AC130" s="94">
        <f ca="1">TblProd[[#This Row],[Platinum]]</f>
        <v>211200</v>
      </c>
      <c r="AD130" s="215"/>
      <c r="AE130" s="45">
        <f ca="1">TblExplore[[#This Row],[Land]]-TblExplore[[#This Row],[Land Bonus]]*20</f>
        <v>50</v>
      </c>
      <c r="AF130" s="94">
        <f ca="1">ROUND(MAX(0.6*TblExplore[[#This Row],[Land-DB]]^1.299,850)*(1+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211</v>
      </c>
    </row>
    <row r="131" spans="1:36" x14ac:dyDescent="0.2">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45820.291666666359</v>
      </c>
      <c r="AB131" s="94">
        <f ca="1">TblMili[[#This Row],[Draftees]]</f>
        <v>635</v>
      </c>
      <c r="AC131" s="94">
        <f ca="1">TblProd[[#This Row],[Platinum]]</f>
        <v>211564</v>
      </c>
      <c r="AD131" s="215"/>
      <c r="AE131" s="45">
        <f ca="1">TblExplore[[#This Row],[Land]]-TblExplore[[#This Row],[Land Bonus]]*20</f>
        <v>50</v>
      </c>
      <c r="AF131" s="94">
        <f ca="1">ROUND(MAX(0.6*TblExplore[[#This Row],[Land-DB]]^1.299,850)*(1+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211</v>
      </c>
    </row>
    <row r="132" spans="1:36" x14ac:dyDescent="0.2">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45820.333333333023</v>
      </c>
      <c r="AB132" s="94">
        <f ca="1">TblMili[[#This Row],[Draftees]]</f>
        <v>636</v>
      </c>
      <c r="AC132" s="94">
        <f ca="1">TblProd[[#This Row],[Platinum]]</f>
        <v>211925</v>
      </c>
      <c r="AD132" s="215"/>
      <c r="AE132" s="45">
        <f ca="1">TblExplore[[#This Row],[Land]]-TblExplore[[#This Row],[Land Bonus]]*20</f>
        <v>50</v>
      </c>
      <c r="AF132" s="94">
        <f ca="1">ROUND(MAX(0.6*TblExplore[[#This Row],[Land-DB]]^1.299,850)*(1+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212</v>
      </c>
    </row>
    <row r="133" spans="1:36" x14ac:dyDescent="0.2">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45820.374999999687</v>
      </c>
      <c r="AB133" s="94">
        <f ca="1">TblMili[[#This Row],[Draftees]]</f>
        <v>637</v>
      </c>
      <c r="AC133" s="94">
        <f ca="1">TblProd[[#This Row],[Platinum]]</f>
        <v>212284</v>
      </c>
      <c r="AD133" s="215"/>
      <c r="AE133" s="45">
        <f ca="1">TblExplore[[#This Row],[Land]]-TblExplore[[#This Row],[Land Bonus]]*20</f>
        <v>50</v>
      </c>
      <c r="AF133" s="94">
        <f ca="1">ROUND(MAX(0.6*TblExplore[[#This Row],[Land-DB]]^1.299,850)*(1+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212</v>
      </c>
    </row>
    <row r="134" spans="1:36" x14ac:dyDescent="0.2">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45820.416666666351</v>
      </c>
      <c r="AB134" s="94">
        <f ca="1">TblMili[[#This Row],[Draftees]]</f>
        <v>638</v>
      </c>
      <c r="AC134" s="94">
        <f ca="1">TblProd[[#This Row],[Platinum]]</f>
        <v>212640</v>
      </c>
      <c r="AD134" s="215"/>
      <c r="AE134" s="45">
        <f ca="1">TblExplore[[#This Row],[Land]]-TblExplore[[#This Row],[Land Bonus]]*20</f>
        <v>50</v>
      </c>
      <c r="AF134" s="94">
        <f ca="1">ROUND(MAX(0.6*TblExplore[[#This Row],[Land-DB]]^1.299,850)*(1+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212</v>
      </c>
    </row>
    <row r="135" spans="1:36" x14ac:dyDescent="0.2">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45820.458333333016</v>
      </c>
      <c r="AB135" s="94">
        <f ca="1">TblMili[[#This Row],[Draftees]]</f>
        <v>639</v>
      </c>
      <c r="AC135" s="94">
        <f ca="1">TblProd[[#This Row],[Platinum]]</f>
        <v>212993</v>
      </c>
      <c r="AD135" s="215"/>
      <c r="AE135" s="45">
        <f ca="1">TblExplore[[#This Row],[Land]]-TblExplore[[#This Row],[Land Bonus]]*20</f>
        <v>50</v>
      </c>
      <c r="AF135" s="94">
        <f ca="1">ROUND(MAX(0.6*TblExplore[[#This Row],[Land-DB]]^1.299,850)*(1+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213</v>
      </c>
    </row>
    <row r="136" spans="1:36" x14ac:dyDescent="0.2">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45820.49999999968</v>
      </c>
      <c r="AB136" s="94">
        <f ca="1">TblMili[[#This Row],[Draftees]]</f>
        <v>640</v>
      </c>
      <c r="AC136" s="94">
        <f ca="1">TblProd[[#This Row],[Platinum]]</f>
        <v>213344</v>
      </c>
      <c r="AD136" s="215"/>
      <c r="AE136" s="45">
        <f ca="1">TblExplore[[#This Row],[Land]]-TblExplore[[#This Row],[Land Bonus]]*20</f>
        <v>50</v>
      </c>
      <c r="AF136" s="94">
        <f ca="1">ROUND(MAX(0.6*TblExplore[[#This Row],[Land-DB]]^1.299,850)*(1+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213</v>
      </c>
    </row>
    <row r="1269" spans="2:13" x14ac:dyDescent="0.2">
      <c r="B1269" s="531" t="s">
        <v>314</v>
      </c>
      <c r="C1269" s="531"/>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$A4=49</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$A13=49</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$A24=49</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45815</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120000</v>
      </c>
      <c r="W4" s="215"/>
      <c r="X4" s="94">
        <f ca="1">ROUNDUP(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45815.041666666664</v>
      </c>
      <c r="L5" s="179"/>
      <c r="M5" s="179"/>
      <c r="N5" s="179"/>
      <c r="O5" s="179"/>
      <c r="P5" s="179"/>
      <c r="Q5" s="179"/>
      <c r="R5" s="179"/>
      <c r="S5" s="94">
        <f>SUMIF(TblRezone[[#This Row],[Plains Rezone]:[Water Rezone]],"&gt;0")</f>
        <v>0</v>
      </c>
      <c r="T5" s="61" t="str">
        <f>IF(SUM(TblRezone[[#This Row],[Plains Rezone]:[Water Rezone]])=0,"Ok","Nope")</f>
        <v>Ok</v>
      </c>
      <c r="U5" s="215"/>
      <c r="V5" s="94">
        <f ca="1">TblProd[[#This Row],[Platinum]]</f>
        <v>121266</v>
      </c>
      <c r="W5" s="215"/>
      <c r="X5" s="94">
        <f ca="1">ROUNDUP(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45815.083333333328</v>
      </c>
      <c r="L6" s="179"/>
      <c r="M6" s="179"/>
      <c r="N6" s="179"/>
      <c r="O6" s="179"/>
      <c r="P6" s="179"/>
      <c r="Q6" s="179"/>
      <c r="R6" s="179"/>
      <c r="S6" s="94">
        <f>SUMIF(TblRezone[[#This Row],[Plains Rezone]:[Water Rezone]],"&gt;0")</f>
        <v>0</v>
      </c>
      <c r="T6" s="61" t="str">
        <f>IF(SUM(TblRezone[[#This Row],[Plains Rezone]:[Water Rezone]])=0,"Ok","Nope")</f>
        <v>Ok</v>
      </c>
      <c r="U6" s="215"/>
      <c r="V6" s="94">
        <f ca="1">TblProd[[#This Row],[Platinum]]</f>
        <v>122518</v>
      </c>
      <c r="W6" s="215"/>
      <c r="X6" s="94">
        <f ca="1">ROUNDUP(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45815.124999999993</v>
      </c>
      <c r="L7" s="179"/>
      <c r="M7" s="179"/>
      <c r="N7" s="179"/>
      <c r="O7" s="179"/>
      <c r="P7" s="179"/>
      <c r="Q7" s="179"/>
      <c r="R7" s="179"/>
      <c r="S7" s="94">
        <f>SUMIF(TblRezone[[#This Row],[Plains Rezone]:[Water Rezone]],"&gt;0")</f>
        <v>0</v>
      </c>
      <c r="T7" s="61" t="str">
        <f>IF(SUM(TblRezone[[#This Row],[Plains Rezone]:[Water Rezone]])=0,"Ok","Nope")</f>
        <v>Ok</v>
      </c>
      <c r="U7" s="215"/>
      <c r="V7" s="94">
        <f ca="1">TblProd[[#This Row],[Platinum]]</f>
        <v>123757</v>
      </c>
      <c r="W7" s="215"/>
      <c r="X7" s="94">
        <f ca="1">ROUNDUP(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45815.166666666657</v>
      </c>
      <c r="L8" s="179"/>
      <c r="M8" s="179"/>
      <c r="N8" s="179"/>
      <c r="O8" s="179"/>
      <c r="P8" s="179"/>
      <c r="Q8" s="179"/>
      <c r="R8" s="179"/>
      <c r="S8" s="94">
        <f>SUMIF(TblRezone[[#This Row],[Plains Rezone]:[Water Rezone]],"&gt;0")</f>
        <v>0</v>
      </c>
      <c r="T8" s="61" t="str">
        <f>IF(SUM(TblRezone[[#This Row],[Plains Rezone]:[Water Rezone]])=0,"Ok","Nope")</f>
        <v>Ok</v>
      </c>
      <c r="U8" s="215"/>
      <c r="V8" s="94">
        <f ca="1">TblProd[[#This Row],[Platinum]]</f>
        <v>124982</v>
      </c>
      <c r="W8" s="215"/>
      <c r="X8" s="94">
        <f ca="1">ROUNDUP(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45815.208333333321</v>
      </c>
      <c r="L9" s="179"/>
      <c r="M9" s="179"/>
      <c r="N9" s="179"/>
      <c r="O9" s="179"/>
      <c r="P9" s="179"/>
      <c r="Q9" s="179"/>
      <c r="R9" s="179"/>
      <c r="S9" s="94">
        <f>SUMIF(TblRezone[[#This Row],[Plains Rezone]:[Water Rezone]],"&gt;0")</f>
        <v>0</v>
      </c>
      <c r="T9" s="61" t="str">
        <f>IF(SUM(TblRezone[[#This Row],[Plains Rezone]:[Water Rezone]])=0,"Ok","Nope")</f>
        <v>Ok</v>
      </c>
      <c r="U9" s="215"/>
      <c r="V9" s="94">
        <f ca="1">TblProd[[#This Row],[Platinum]]</f>
        <v>126194</v>
      </c>
      <c r="W9" s="215"/>
      <c r="X9" s="94">
        <f ca="1">ROUNDUP(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45815.249999999985</v>
      </c>
      <c r="L10" s="179"/>
      <c r="M10" s="179"/>
      <c r="N10" s="179"/>
      <c r="O10" s="179"/>
      <c r="P10" s="179"/>
      <c r="Q10" s="179"/>
      <c r="R10" s="179"/>
      <c r="S10" s="94">
        <f>SUMIF(TblRezone[[#This Row],[Plains Rezone]:[Water Rezone]],"&gt;0")</f>
        <v>0</v>
      </c>
      <c r="T10" s="61" t="str">
        <f>IF(SUM(TblRezone[[#This Row],[Plains Rezone]:[Water Rezone]])=0,"Ok","Nope")</f>
        <v>Ok</v>
      </c>
      <c r="U10" s="215"/>
      <c r="V10" s="94">
        <f ca="1">TblProd[[#This Row],[Platinum]]</f>
        <v>127395</v>
      </c>
      <c r="W10" s="215"/>
      <c r="X10" s="94">
        <f ca="1">ROUNDUP(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45815.29166666665</v>
      </c>
      <c r="L11" s="179"/>
      <c r="M11" s="179"/>
      <c r="N11" s="179"/>
      <c r="O11" s="179"/>
      <c r="P11" s="179"/>
      <c r="Q11" s="179"/>
      <c r="R11" s="179"/>
      <c r="S11" s="94">
        <f>SUMIF(TblRezone[[#This Row],[Plains Rezone]:[Water Rezone]],"&gt;0")</f>
        <v>0</v>
      </c>
      <c r="T11" s="61" t="str">
        <f>IF(SUM(TblRezone[[#This Row],[Plains Rezone]:[Water Rezone]])=0,"Ok","Nope")</f>
        <v>Ok</v>
      </c>
      <c r="U11" s="215"/>
      <c r="V11" s="94">
        <f ca="1">TblProd[[#This Row],[Platinum]]</f>
        <v>128585</v>
      </c>
      <c r="W11" s="215"/>
      <c r="X11" s="94">
        <f ca="1">ROUNDUP(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45815.333333333314</v>
      </c>
      <c r="L12" s="179"/>
      <c r="M12" s="179"/>
      <c r="N12" s="179"/>
      <c r="O12" s="179"/>
      <c r="P12" s="179"/>
      <c r="Q12" s="179"/>
      <c r="R12" s="179"/>
      <c r="S12" s="94">
        <f>SUMIF(TblRezone[[#This Row],[Plains Rezone]:[Water Rezone]],"&gt;0")</f>
        <v>0</v>
      </c>
      <c r="T12" s="61" t="str">
        <f>IF(SUM(TblRezone[[#This Row],[Plains Rezone]:[Water Rezone]])=0,"Ok","Nope")</f>
        <v>Ok</v>
      </c>
      <c r="U12" s="215"/>
      <c r="V12" s="94">
        <f ca="1">TblProd[[#This Row],[Platinum]]</f>
        <v>129764</v>
      </c>
      <c r="W12" s="215"/>
      <c r="X12" s="94">
        <f ca="1">ROUNDUP(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45815.374999999978</v>
      </c>
      <c r="L13" s="179"/>
      <c r="M13" s="179"/>
      <c r="N13" s="179"/>
      <c r="O13" s="179"/>
      <c r="P13" s="179"/>
      <c r="Q13" s="179"/>
      <c r="R13" s="179"/>
      <c r="S13" s="94">
        <f>SUMIF(TblRezone[[#This Row],[Plains Rezone]:[Water Rezone]],"&gt;0")</f>
        <v>0</v>
      </c>
      <c r="T13" s="61" t="str">
        <f>IF(SUM(TblRezone[[#This Row],[Plains Rezone]:[Water Rezone]])=0,"Ok","Nope")</f>
        <v>Ok</v>
      </c>
      <c r="U13" s="215"/>
      <c r="V13" s="94">
        <f ca="1">TblProd[[#This Row],[Platinum]]</f>
        <v>130933</v>
      </c>
      <c r="W13" s="215"/>
      <c r="X13" s="94">
        <f ca="1">ROUNDUP(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45815.416666666642</v>
      </c>
      <c r="L14" s="179"/>
      <c r="M14" s="179"/>
      <c r="N14" s="179"/>
      <c r="O14" s="179"/>
      <c r="P14" s="179"/>
      <c r="Q14" s="179"/>
      <c r="R14" s="179"/>
      <c r="S14" s="94">
        <f>SUMIF(TblRezone[[#This Row],[Plains Rezone]:[Water Rezone]],"&gt;0")</f>
        <v>0</v>
      </c>
      <c r="T14" s="61" t="str">
        <f>IF(SUM(TblRezone[[#This Row],[Plains Rezone]:[Water Rezone]])=0,"Ok","Nope")</f>
        <v>Ok</v>
      </c>
      <c r="U14" s="215"/>
      <c r="V14" s="94">
        <f ca="1">TblProd[[#This Row],[Platinum]]</f>
        <v>132091</v>
      </c>
      <c r="W14" s="215"/>
      <c r="X14" s="94">
        <f ca="1">ROUNDUP(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45815.458333333307</v>
      </c>
      <c r="L15" s="179"/>
      <c r="M15" s="179"/>
      <c r="N15" s="179"/>
      <c r="O15" s="179"/>
      <c r="P15" s="179"/>
      <c r="Q15" s="179"/>
      <c r="R15" s="179"/>
      <c r="S15" s="94">
        <f>SUMIF(TblRezone[[#This Row],[Plains Rezone]:[Water Rezone]],"&gt;0")</f>
        <v>0</v>
      </c>
      <c r="T15" s="61" t="str">
        <f>IF(SUM(TblRezone[[#This Row],[Plains Rezone]:[Water Rezone]])=0,"Ok","Nope")</f>
        <v>Ok</v>
      </c>
      <c r="U15" s="215"/>
      <c r="V15" s="94">
        <f ca="1">TblProd[[#This Row],[Platinum]]</f>
        <v>133238</v>
      </c>
      <c r="W15" s="215"/>
      <c r="X15" s="94">
        <f ca="1">ROUNDUP(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45815.499999999971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134374</v>
      </c>
      <c r="W16" s="215"/>
      <c r="X16" s="94">
        <f ca="1">ROUNDUP(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x14ac:dyDescent="0.2">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45815.541666666635</v>
      </c>
      <c r="L17" s="179"/>
      <c r="M17" s="179"/>
      <c r="N17" s="179"/>
      <c r="O17" s="179"/>
      <c r="P17" s="179"/>
      <c r="Q17" s="179"/>
      <c r="R17" s="179"/>
      <c r="S17" s="94">
        <f>SUMIF(TblRezone[[#This Row],[Plains Rezone]:[Water Rezone]],"&gt;0")</f>
        <v>0</v>
      </c>
      <c r="T17" s="61" t="str">
        <f>IF(SUM(TblRezone[[#This Row],[Plains Rezone]:[Water Rezone]])=0,"Ok","Nope")</f>
        <v>Ok</v>
      </c>
      <c r="U17" s="215"/>
      <c r="V17" s="94">
        <f ca="1">TblProd[[#This Row],[Platinum]]</f>
        <v>135499</v>
      </c>
      <c r="W17" s="215"/>
      <c r="X17" s="94">
        <f ca="1">ROUNDUP(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x14ac:dyDescent="0.2">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45815.583333333299</v>
      </c>
      <c r="L18" s="179"/>
      <c r="M18" s="179"/>
      <c r="N18" s="179"/>
      <c r="O18" s="179"/>
      <c r="P18" s="179"/>
      <c r="Q18" s="179"/>
      <c r="R18" s="179"/>
      <c r="S18" s="94">
        <f>SUMIF(TblRezone[[#This Row],[Plains Rezone]:[Water Rezone]],"&gt;0")</f>
        <v>0</v>
      </c>
      <c r="T18" s="61" t="str">
        <f>IF(SUM(TblRezone[[#This Row],[Plains Rezone]:[Water Rezone]])=0,"Ok","Nope")</f>
        <v>Ok</v>
      </c>
      <c r="U18" s="215"/>
      <c r="V18" s="94">
        <f ca="1">TblProd[[#This Row],[Platinum]]</f>
        <v>136614</v>
      </c>
      <c r="W18" s="215"/>
      <c r="X18" s="94">
        <f ca="1">ROUNDUP(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x14ac:dyDescent="0.2">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45815.624999999964</v>
      </c>
      <c r="L19" s="179"/>
      <c r="M19" s="179"/>
      <c r="N19" s="179"/>
      <c r="O19" s="179"/>
      <c r="P19" s="179"/>
      <c r="Q19" s="179"/>
      <c r="R19" s="179"/>
      <c r="S19" s="94">
        <f>SUMIF(TblRezone[[#This Row],[Plains Rezone]:[Water Rezone]],"&gt;0")</f>
        <v>0</v>
      </c>
      <c r="T19" s="61" t="str">
        <f>IF(SUM(TblRezone[[#This Row],[Plains Rezone]:[Water Rezone]])=0,"Ok","Nope")</f>
        <v>Ok</v>
      </c>
      <c r="U19" s="215"/>
      <c r="V19" s="94">
        <f ca="1">TblProd[[#This Row],[Platinum]]</f>
        <v>137718</v>
      </c>
      <c r="W19" s="215"/>
      <c r="X19" s="94">
        <f ca="1">ROUNDUP(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x14ac:dyDescent="0.2">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45815.666666666628</v>
      </c>
      <c r="L20" s="179"/>
      <c r="M20" s="179"/>
      <c r="N20" s="179"/>
      <c r="O20" s="179"/>
      <c r="P20" s="179"/>
      <c r="Q20" s="179"/>
      <c r="R20" s="179"/>
      <c r="S20" s="94">
        <f>SUMIF(TblRezone[[#This Row],[Plains Rezone]:[Water Rezone]],"&gt;0")</f>
        <v>0</v>
      </c>
      <c r="T20" s="61" t="str">
        <f>IF(SUM(TblRezone[[#This Row],[Plains Rezone]:[Water Rezone]])=0,"Ok","Nope")</f>
        <v>Ok</v>
      </c>
      <c r="U20" s="215"/>
      <c r="V20" s="94">
        <f ca="1">TblProd[[#This Row],[Platinum]]</f>
        <v>138811</v>
      </c>
      <c r="W20" s="215"/>
      <c r="X20" s="94">
        <f ca="1">ROUNDUP(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x14ac:dyDescent="0.2">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45815.708333333292</v>
      </c>
      <c r="L21" s="179"/>
      <c r="M21" s="179"/>
      <c r="N21" s="179"/>
      <c r="O21" s="179"/>
      <c r="P21" s="179"/>
      <c r="Q21" s="179"/>
      <c r="R21" s="179"/>
      <c r="S21" s="94">
        <f>SUMIF(TblRezone[[#This Row],[Plains Rezone]:[Water Rezone]],"&gt;0")</f>
        <v>0</v>
      </c>
      <c r="T21" s="61" t="str">
        <f>IF(SUM(TblRezone[[#This Row],[Plains Rezone]:[Water Rezone]])=0,"Ok","Nope")</f>
        <v>Ok</v>
      </c>
      <c r="U21" s="215"/>
      <c r="V21" s="94">
        <f ca="1">TblProd[[#This Row],[Platinum]]</f>
        <v>139893</v>
      </c>
      <c r="W21" s="215"/>
      <c r="X21" s="94">
        <f ca="1">ROUNDUP(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x14ac:dyDescent="0.2">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45815.749999999956</v>
      </c>
      <c r="L22" s="179"/>
      <c r="M22" s="179"/>
      <c r="N22" s="179"/>
      <c r="O22" s="179"/>
      <c r="P22" s="179"/>
      <c r="Q22" s="179"/>
      <c r="R22" s="179"/>
      <c r="S22" s="94">
        <f>SUMIF(TblRezone[[#This Row],[Plains Rezone]:[Water Rezone]],"&gt;0")</f>
        <v>0</v>
      </c>
      <c r="T22" s="61" t="str">
        <f>IF(SUM(TblRezone[[#This Row],[Plains Rezone]:[Water Rezone]])=0,"Ok","Nope")</f>
        <v>Ok</v>
      </c>
      <c r="U22" s="215"/>
      <c r="V22" s="94">
        <f ca="1">TblProd[[#This Row],[Platinum]]</f>
        <v>140964</v>
      </c>
      <c r="W22" s="215"/>
      <c r="X22" s="94">
        <f ca="1">ROUNDUP(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x14ac:dyDescent="0.2">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45815.791666666621</v>
      </c>
      <c r="L23" s="179"/>
      <c r="M23" s="179"/>
      <c r="N23" s="179"/>
      <c r="O23" s="179"/>
      <c r="P23" s="179"/>
      <c r="Q23" s="179"/>
      <c r="R23" s="179"/>
      <c r="S23" s="94">
        <f>SUMIF(TblRezone[[#This Row],[Plains Rezone]:[Water Rezone]],"&gt;0")</f>
        <v>0</v>
      </c>
      <c r="T23" s="61" t="str">
        <f>IF(SUM(TblRezone[[#This Row],[Plains Rezone]:[Water Rezone]])=0,"Ok","Nope")</f>
        <v>Ok</v>
      </c>
      <c r="U23" s="215"/>
      <c r="V23" s="94">
        <f ca="1">TblProd[[#This Row],[Platinum]]</f>
        <v>142025</v>
      </c>
      <c r="W23" s="215"/>
      <c r="X23" s="94">
        <f ca="1">ROUNDUP(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x14ac:dyDescent="0.2">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45815.833333333285</v>
      </c>
      <c r="L24" s="179"/>
      <c r="M24" s="179"/>
      <c r="N24" s="179"/>
      <c r="O24" s="179"/>
      <c r="P24" s="179"/>
      <c r="Q24" s="179"/>
      <c r="R24" s="179"/>
      <c r="S24" s="94">
        <f>SUMIF(TblRezone[[#This Row],[Plains Rezone]:[Water Rezone]],"&gt;0")</f>
        <v>0</v>
      </c>
      <c r="T24" s="61" t="str">
        <f>IF(SUM(TblRezone[[#This Row],[Plains Rezone]:[Water Rezone]])=0,"Ok","Nope")</f>
        <v>Ok</v>
      </c>
      <c r="U24" s="215"/>
      <c r="V24" s="94">
        <f ca="1">TblProd[[#This Row],[Platinum]]</f>
        <v>143075</v>
      </c>
      <c r="W24" s="215"/>
      <c r="X24" s="94">
        <f ca="1">ROUNDUP(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x14ac:dyDescent="0.2">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45815.874999999949</v>
      </c>
      <c r="L25" s="179"/>
      <c r="M25" s="179"/>
      <c r="N25" s="179"/>
      <c r="O25" s="179"/>
      <c r="P25" s="179"/>
      <c r="Q25" s="179"/>
      <c r="R25" s="179"/>
      <c r="S25" s="94">
        <f>SUMIF(TblRezone[[#This Row],[Plains Rezone]:[Water Rezone]],"&gt;0")</f>
        <v>0</v>
      </c>
      <c r="T25" s="61" t="str">
        <f>IF(SUM(TblRezone[[#This Row],[Plains Rezone]:[Water Rezone]])=0,"Ok","Nope")</f>
        <v>Ok</v>
      </c>
      <c r="U25" s="215"/>
      <c r="V25" s="94">
        <f ca="1">TblProd[[#This Row],[Platinum]]</f>
        <v>144114</v>
      </c>
      <c r="W25" s="215"/>
      <c r="X25" s="94">
        <f ca="1">ROUNDUP(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x14ac:dyDescent="0.2">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45815.916666666613</v>
      </c>
      <c r="L26" s="179"/>
      <c r="M26" s="179"/>
      <c r="N26" s="179"/>
      <c r="O26" s="179"/>
      <c r="P26" s="179"/>
      <c r="Q26" s="179"/>
      <c r="R26" s="179"/>
      <c r="S26" s="94">
        <f>SUMIF(TblRezone[[#This Row],[Plains Rezone]:[Water Rezone]],"&gt;0")</f>
        <v>0</v>
      </c>
      <c r="T26" s="61" t="str">
        <f>IF(SUM(TblRezone[[#This Row],[Plains Rezone]:[Water Rezone]])=0,"Ok","Nope")</f>
        <v>Ok</v>
      </c>
      <c r="U26" s="215"/>
      <c r="V26" s="94">
        <f ca="1">TblProd[[#This Row],[Platinum]]</f>
        <v>145142</v>
      </c>
      <c r="W26" s="215"/>
      <c r="X26" s="94">
        <f ca="1">ROUNDUP(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x14ac:dyDescent="0.2">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45815.958333333278</v>
      </c>
      <c r="L27" s="179"/>
      <c r="M27" s="179"/>
      <c r="N27" s="179"/>
      <c r="O27" s="179"/>
      <c r="P27" s="179"/>
      <c r="Q27" s="179"/>
      <c r="R27" s="179"/>
      <c r="S27" s="94">
        <f>SUMIF(TblRezone[[#This Row],[Plains Rezone]:[Water Rezone]],"&gt;0")</f>
        <v>0</v>
      </c>
      <c r="T27" s="61" t="str">
        <f>IF(SUM(TblRezone[[#This Row],[Plains Rezone]:[Water Rezone]])=0,"Ok","Nope")</f>
        <v>Ok</v>
      </c>
      <c r="U27" s="215"/>
      <c r="V27" s="94">
        <f ca="1">TblProd[[#This Row],[Platinum]]</f>
        <v>146159</v>
      </c>
      <c r="W27" s="215"/>
      <c r="X27" s="94">
        <f ca="1">ROUNDUP(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x14ac:dyDescent="0.2">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45815.999999999942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147166</v>
      </c>
      <c r="W28" s="215"/>
      <c r="X28" s="94">
        <f ca="1">ROUNDUP(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x14ac:dyDescent="0.2">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45816.041666666606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148162</v>
      </c>
      <c r="W29" s="215"/>
      <c r="X29" s="94">
        <f ca="1">ROUNDUP(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x14ac:dyDescent="0.2">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45816.08333333327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149147</v>
      </c>
      <c r="W30" s="215"/>
      <c r="X30" s="94">
        <f ca="1">ROUNDUP(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x14ac:dyDescent="0.2">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45816.124999999935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150121</v>
      </c>
      <c r="W31" s="215"/>
      <c r="X31" s="94">
        <f ca="1">ROUNDUP(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x14ac:dyDescent="0.2">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45816.166666666599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151084</v>
      </c>
      <c r="W32" s="215"/>
      <c r="X32" s="94">
        <f ca="1">ROUNDUP(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x14ac:dyDescent="0.2">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45816.208333333263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152037</v>
      </c>
      <c r="W33" s="215"/>
      <c r="X33" s="94">
        <f ca="1">ROUNDUP(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x14ac:dyDescent="0.2">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45816.249999999927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152979</v>
      </c>
      <c r="W34" s="215"/>
      <c r="X34" s="94">
        <f ca="1">ROUNDUP(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x14ac:dyDescent="0.2">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45816.291666666591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153913</v>
      </c>
      <c r="W35" s="215"/>
      <c r="X35" s="94">
        <f ca="1">ROUNDUP(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x14ac:dyDescent="0.2">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45816.333333333256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154839</v>
      </c>
      <c r="W36" s="215"/>
      <c r="X36" s="94">
        <f ca="1">ROUNDUP(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x14ac:dyDescent="0.2">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45816.37499999992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155757</v>
      </c>
      <c r="W37" s="215"/>
      <c r="X37" s="94">
        <f ca="1">ROUNDUP(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x14ac:dyDescent="0.2">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45816.416666666584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156666</v>
      </c>
      <c r="W38" s="215"/>
      <c r="X38" s="94">
        <f ca="1">ROUNDUP(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x14ac:dyDescent="0.2">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45816.458333333248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157567</v>
      </c>
      <c r="W39" s="215"/>
      <c r="X39" s="94">
        <f ca="1">ROUNDUP(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x14ac:dyDescent="0.2">
      <c r="A40" s="214">
        <f ca="1">TblConstr[[#This Row],[Land]]</f>
        <v>50</v>
      </c>
      <c r="B40" s="216">
        <f ca="1">TblConstr[[#This Row],[Plain]]</f>
        <v>0</v>
      </c>
      <c r="C40" s="182">
        <f ca="1">TblConstr[[#This Row],[Forest]]</f>
        <v>0</v>
      </c>
      <c r="D40" s="359">
        <f ca="1">TblConstr[[#This Row],[Mountain]]</f>
        <v>0</v>
      </c>
      <c r="E40" s="363">
        <f ca="1">TblConstr[[#This Row],[Hill]]</f>
        <v>0</v>
      </c>
      <c r="F40" s="367">
        <f ca="1">TblConstr[[#This Row],[Swamp]]</f>
        <v>0</v>
      </c>
      <c r="G40" s="185">
        <f ca="1">TblConstr[[#This Row],[Cavern]]</f>
        <v>0</v>
      </c>
      <c r="H40" s="186">
        <f ca="1">TblConstr[[#This Row],[Water]]</f>
        <v>0</v>
      </c>
      <c r="I40" s="215"/>
      <c r="J40" s="175">
        <f t="shared" si="1"/>
        <v>37</v>
      </c>
      <c r="K40" s="236">
        <f ca="1">TblImps[[#This Row],[Real time]]</f>
        <v>45816.499999999913</v>
      </c>
      <c r="L40" s="179"/>
      <c r="M40" s="179"/>
      <c r="N40" s="179"/>
      <c r="O40" s="179"/>
      <c r="P40" s="179"/>
      <c r="Q40" s="179"/>
      <c r="R40" s="179"/>
      <c r="S40" s="94">
        <f>SUMIF(TblRezone[[#This Row],[Plains Rezone]:[Water Rezone]],"&gt;0")</f>
        <v>0</v>
      </c>
      <c r="T40" s="61" t="str">
        <f>IF(SUM(TblRezone[[#This Row],[Plains Rezone]:[Water Rezone]])=0,"Ok","Nope")</f>
        <v>Ok</v>
      </c>
      <c r="U40" s="215"/>
      <c r="V40" s="94">
        <f ca="1">TblProd[[#This Row],[Platinum]]</f>
        <v>158460</v>
      </c>
      <c r="W40" s="215"/>
      <c r="X40" s="94">
        <f ca="1">ROUNDUP( (1-MIN(ROUND(facs_rezone_factor*TblRezone[[#This Row],[Facs]],4),facs_rezone_max) + tech_6_4*TblTech[[#This Row],[6-4]] + tech_10_2*TblTech[[#This Row],[10-2]] - IF(TblMagic[[#This Row],[Active Mechanical Genius]]&gt;0,mech_genius_bonus,0) + race_rezone_cost) * TblRezone[[#This Row],[Plat/acre*]],0)</f>
        <v>130</v>
      </c>
      <c r="Y40" s="94">
        <f ca="1">TblRezone[[#This Row],[Total acres]]*TblRezone[[#This Row],[Plat/acre]]</f>
        <v>0</v>
      </c>
      <c r="Z40" s="215"/>
      <c r="AA40" s="94">
        <f ca="1">(250+0.6*(TblRezone[[#This Row],[Land]]-250))</f>
        <v>130</v>
      </c>
      <c r="AB40" s="215"/>
      <c r="AC40" s="157">
        <f ca="1">TblConstr[[#This Row],[Facs DB]]</f>
        <v>0</v>
      </c>
    </row>
    <row r="41" spans="1:29" x14ac:dyDescent="0.2">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45816.541666666577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159345</v>
      </c>
      <c r="W41" s="215"/>
      <c r="X41" s="94">
        <f ca="1">ROUNDUP(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x14ac:dyDescent="0.2">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45816.583333333241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160222</v>
      </c>
      <c r="W42" s="215"/>
      <c r="X42" s="94">
        <f ca="1">ROUNDUP(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x14ac:dyDescent="0.2">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45816.624999999905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161091</v>
      </c>
      <c r="W43" s="215"/>
      <c r="X43" s="94">
        <f ca="1">ROUNDUP(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x14ac:dyDescent="0.2">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45816.66666666657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161952</v>
      </c>
      <c r="W44" s="215"/>
      <c r="X44" s="94">
        <f ca="1">ROUNDUP(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x14ac:dyDescent="0.2">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45816.708333333234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162805</v>
      </c>
      <c r="W45" s="215"/>
      <c r="X45" s="94">
        <f ca="1">ROUNDUP(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x14ac:dyDescent="0.2">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45816.749999999898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163650</v>
      </c>
      <c r="W46" s="215"/>
      <c r="X46" s="94">
        <f ca="1">ROUNDUP(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x14ac:dyDescent="0.2">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45816.791666666562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164487</v>
      </c>
      <c r="W47" s="215"/>
      <c r="X47" s="94">
        <f ca="1">ROUNDUP(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x14ac:dyDescent="0.2">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45816.833333333227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165315</v>
      </c>
      <c r="W48" s="215"/>
      <c r="X48" s="94">
        <f ca="1">ROUNDUP(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x14ac:dyDescent="0.2">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45816.874999999891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166135</v>
      </c>
      <c r="W49" s="215"/>
      <c r="X49" s="94">
        <f ca="1">ROUNDUP(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x14ac:dyDescent="0.2">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45816.916666666555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166947</v>
      </c>
      <c r="W50" s="215"/>
      <c r="X50" s="94">
        <f ca="1">ROUNDUP(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x14ac:dyDescent="0.2">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45816.958333333219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167751</v>
      </c>
      <c r="W51" s="215"/>
      <c r="X51" s="94">
        <f ca="1">ROUNDUP(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s="5" customFormat="1" x14ac:dyDescent="0.2">
      <c r="A52" s="230">
        <f ca="1">TblConstr[[#This Row],[Land]]</f>
        <v>50</v>
      </c>
      <c r="B52" s="232">
        <f ca="1">TblConstr[[#This Row],[Plain]]</f>
        <v>0</v>
      </c>
      <c r="C52" s="196">
        <f ca="1">TblConstr[[#This Row],[Forest]]</f>
        <v>0</v>
      </c>
      <c r="D52" s="360">
        <f ca="1">TblConstr[[#This Row],[Mountain]]</f>
        <v>0</v>
      </c>
      <c r="E52" s="364">
        <f ca="1">TblConstr[[#This Row],[Hill]]</f>
        <v>0</v>
      </c>
      <c r="F52" s="368">
        <f ca="1">TblConstr[[#This Row],[Swamp]]</f>
        <v>0</v>
      </c>
      <c r="G52" s="199">
        <f ca="1">TblConstr[[#This Row],[Cavern]]</f>
        <v>0</v>
      </c>
      <c r="H52" s="200">
        <f ca="1">TblConstr[[#This Row],[Water]]</f>
        <v>0</v>
      </c>
      <c r="I52" s="231"/>
      <c r="J52" s="193">
        <f t="shared" si="1"/>
        <v>49</v>
      </c>
      <c r="K52" s="237">
        <f ca="1">TblImps[[#This Row],[Real time]]</f>
        <v>45816.999999999884</v>
      </c>
      <c r="L52" s="201"/>
      <c r="M52" s="201"/>
      <c r="N52" s="201"/>
      <c r="O52" s="201"/>
      <c r="P52" s="201"/>
      <c r="Q52" s="201"/>
      <c r="R52" s="201"/>
      <c r="S52" s="35">
        <f>SUMIF(TblRezone[[#This Row],[Plains Rezone]:[Water Rezone]],"&gt;0")</f>
        <v>0</v>
      </c>
      <c r="T52" s="148" t="str">
        <f>IF(SUM(TblRezone[[#This Row],[Plains Rezone]:[Water Rezone]])=0,"Ok","Nope")</f>
        <v>Ok</v>
      </c>
      <c r="U52" s="231"/>
      <c r="V52" s="35">
        <f ca="1">TblProd[[#This Row],[Platinum]]</f>
        <v>168547</v>
      </c>
      <c r="W52" s="231"/>
      <c r="X52" s="35">
        <f ca="1">ROUNDUP( (1-MIN(ROUND(facs_rezone_factor*TblRezone[[#This Row],[Facs]],4),facs_rezone_max) + tech_6_4*TblTech[[#This Row],[6-4]] + tech_10_2*TblTech[[#This Row],[10-2]] - IF(TblMagic[[#This Row],[Active Mechanical Genius]]&gt;0,mech_genius_bonus,0) + race_rezone_cost) * TblRezone[[#This Row],[Plat/acre*]],0)</f>
        <v>130</v>
      </c>
      <c r="Y52" s="35">
        <f ca="1">TblRezone[[#This Row],[Total acres]]*TblRezone[[#This Row],[Plat/acre]]</f>
        <v>0</v>
      </c>
      <c r="Z52" s="231"/>
      <c r="AA52" s="35">
        <f ca="1">(250+0.6*(TblRezone[[#This Row],[Land]]-250))</f>
        <v>130</v>
      </c>
      <c r="AB52" s="231"/>
      <c r="AC52" s="165">
        <f ca="1">TblConstr[[#This Row],[Facs DB]]</f>
        <v>0</v>
      </c>
    </row>
    <row r="53" spans="1:29" x14ac:dyDescent="0.2">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45817.041666666548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169335</v>
      </c>
      <c r="W53" s="215"/>
      <c r="X53" s="94">
        <f ca="1">ROUNDUP(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x14ac:dyDescent="0.2">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45817.083333333212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170115</v>
      </c>
      <c r="W54" s="215"/>
      <c r="X54" s="94">
        <f ca="1">ROUNDUP(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x14ac:dyDescent="0.2">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45817.124999999876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170887</v>
      </c>
      <c r="W55" s="215"/>
      <c r="X55" s="94">
        <f ca="1">ROUNDUP(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x14ac:dyDescent="0.2">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45817.166666666541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171651</v>
      </c>
      <c r="W56" s="215"/>
      <c r="X56" s="94">
        <f ca="1">ROUNDUP(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x14ac:dyDescent="0.2">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45817.208333333205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172407</v>
      </c>
      <c r="W57" s="215"/>
      <c r="X57" s="94">
        <f ca="1">ROUNDUP(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x14ac:dyDescent="0.2">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45817.249999999869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173154</v>
      </c>
      <c r="W58" s="215"/>
      <c r="X58" s="94">
        <f ca="1">ROUNDUP(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x14ac:dyDescent="0.2">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45817.291666666533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173893</v>
      </c>
      <c r="W59" s="215"/>
      <c r="X59" s="94">
        <f ca="1">ROUNDUP(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x14ac:dyDescent="0.2">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45817.333333333198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174624</v>
      </c>
      <c r="W60" s="215"/>
      <c r="X60" s="94">
        <f ca="1">ROUNDUP(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x14ac:dyDescent="0.2">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45817.374999999862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175347</v>
      </c>
      <c r="W61" s="215"/>
      <c r="X61" s="94">
        <f ca="1">ROUNDUP(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x14ac:dyDescent="0.2">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45817.416666666526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176062</v>
      </c>
      <c r="W62" s="215"/>
      <c r="X62" s="94">
        <f ca="1">ROUNDUP(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x14ac:dyDescent="0.2">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45817.45833333319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176769</v>
      </c>
      <c r="W63" s="215"/>
      <c r="X63" s="94">
        <f ca="1">ROUNDUP(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x14ac:dyDescent="0.2">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45817.499999999854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177468</v>
      </c>
      <c r="W64" s="215"/>
      <c r="X64" s="94">
        <f ca="1">ROUNDUP(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x14ac:dyDescent="0.2">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45817.541666666519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178159</v>
      </c>
      <c r="W65" s="215"/>
      <c r="X65" s="94">
        <f ca="1">ROUNDUP(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x14ac:dyDescent="0.2">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45817.583333333183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178842</v>
      </c>
      <c r="W66" s="215"/>
      <c r="X66" s="94">
        <f ca="1">ROUNDUP(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x14ac:dyDescent="0.2">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45817.624999999847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179517</v>
      </c>
      <c r="W67" s="215"/>
      <c r="X67" s="94">
        <f ca="1">ROUNDUP(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x14ac:dyDescent="0.2">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45817.666666666511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180183</v>
      </c>
      <c r="W68" s="215"/>
      <c r="X68" s="94">
        <f ca="1">ROUNDUP(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x14ac:dyDescent="0.2">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45817.708333333176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180844</v>
      </c>
      <c r="W69" s="215"/>
      <c r="X69" s="94">
        <f ca="1">ROUNDUP(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x14ac:dyDescent="0.2">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45817.74999999984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181500</v>
      </c>
      <c r="W70" s="215"/>
      <c r="X70" s="94">
        <f ca="1">ROUNDUP(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x14ac:dyDescent="0.2">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45817.791666666504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182150</v>
      </c>
      <c r="W71" s="215"/>
      <c r="X71" s="94">
        <f ca="1">ROUNDUP(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x14ac:dyDescent="0.2">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45817.833333333168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182795</v>
      </c>
      <c r="W72" s="215"/>
      <c r="X72" s="94">
        <f ca="1">ROUNDUP(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x14ac:dyDescent="0.2">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45817.874999999833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183434</v>
      </c>
      <c r="W73" s="215"/>
      <c r="X73" s="94">
        <f ca="1">ROUNDUP(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x14ac:dyDescent="0.2">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45817.916666666497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184068</v>
      </c>
      <c r="W74" s="215"/>
      <c r="X74" s="94">
        <f ca="1">ROUNDUP(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x14ac:dyDescent="0.2">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45817.958333333161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184697</v>
      </c>
      <c r="W75" s="215"/>
      <c r="X75" s="94">
        <f ca="1">ROUNDUP(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x14ac:dyDescent="0.2">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45817.999999999825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185320</v>
      </c>
      <c r="W76" s="215"/>
      <c r="X76" s="430">
        <f ca="1">ROUNDUP(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2">
        <f ca="1">TblConstr[[#This Row],[Facs DB]]</f>
        <v>0</v>
      </c>
    </row>
    <row r="77" spans="1:29" x14ac:dyDescent="0.2">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45818.04166666649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185938</v>
      </c>
      <c r="W77" s="215"/>
      <c r="X77" s="94">
        <f ca="1">ROUNDUP(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x14ac:dyDescent="0.2">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45818.083333333154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186550</v>
      </c>
      <c r="W78" s="215"/>
      <c r="X78" s="94">
        <f ca="1">ROUNDUP(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x14ac:dyDescent="0.2">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45818.124999999818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187157</v>
      </c>
      <c r="W79" s="215"/>
      <c r="X79" s="94">
        <f ca="1">ROUNDUP(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x14ac:dyDescent="0.2">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45818.166666666482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187759</v>
      </c>
      <c r="W80" s="215"/>
      <c r="X80" s="94">
        <f ca="1">ROUNDUP(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x14ac:dyDescent="0.2">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45818.208333333147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188355</v>
      </c>
      <c r="W81" s="215"/>
      <c r="X81" s="94">
        <f ca="1">ROUNDUP(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x14ac:dyDescent="0.2">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45818.249999999811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188946</v>
      </c>
      <c r="W82" s="215"/>
      <c r="X82" s="94">
        <f ca="1">ROUNDUP(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x14ac:dyDescent="0.2">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45818.291666666475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189531</v>
      </c>
      <c r="W83" s="215"/>
      <c r="X83" s="94">
        <f ca="1">ROUNDUP(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x14ac:dyDescent="0.2">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45818.333333333139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190111</v>
      </c>
      <c r="W84" s="215"/>
      <c r="X84" s="94">
        <f ca="1">ROUNDUP(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x14ac:dyDescent="0.2">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45818.374999999804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190686</v>
      </c>
      <c r="W85" s="215"/>
      <c r="X85" s="94">
        <f ca="1">ROUNDUP(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x14ac:dyDescent="0.2">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45818.416666666468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191255</v>
      </c>
      <c r="W86" s="215"/>
      <c r="X86" s="94">
        <f ca="1">ROUNDUP(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x14ac:dyDescent="0.2">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45818.458333333132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191819</v>
      </c>
      <c r="W87" s="215"/>
      <c r="X87" s="94">
        <f ca="1">ROUNDUP(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x14ac:dyDescent="0.2">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45818.499999999796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192377</v>
      </c>
      <c r="W88" s="215"/>
      <c r="X88" s="94">
        <f ca="1">ROUNDUP(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x14ac:dyDescent="0.2">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45818.541666666461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192930</v>
      </c>
      <c r="W89" s="215"/>
      <c r="X89" s="94">
        <f ca="1">ROUNDUP(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x14ac:dyDescent="0.2">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45818.583333333125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193478</v>
      </c>
      <c r="W90" s="215"/>
      <c r="X90" s="94">
        <f ca="1">ROUNDUP(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x14ac:dyDescent="0.2">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45818.624999999789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194020</v>
      </c>
      <c r="W91" s="215"/>
      <c r="X91" s="94">
        <f ca="1">ROUNDUP(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x14ac:dyDescent="0.2">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45818.666666666453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194557</v>
      </c>
      <c r="W92" s="215"/>
      <c r="X92" s="94">
        <f ca="1">ROUNDUP(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x14ac:dyDescent="0.2">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45818.708333333117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195088</v>
      </c>
      <c r="W93" s="215"/>
      <c r="X93" s="94">
        <f ca="1">ROUNDUP(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x14ac:dyDescent="0.2">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45818.749999999782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195614</v>
      </c>
      <c r="W94" s="215"/>
      <c r="X94" s="94">
        <f ca="1">ROUNDUP(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x14ac:dyDescent="0.2">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45818.791666666446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196135</v>
      </c>
      <c r="W95" s="215"/>
      <c r="X95" s="94">
        <f ca="1">ROUNDUP(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x14ac:dyDescent="0.2">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45818.83333333311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196650</v>
      </c>
      <c r="W96" s="215"/>
      <c r="X96" s="94">
        <f ca="1">ROUNDUP(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x14ac:dyDescent="0.2">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45818.874999999774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197160</v>
      </c>
      <c r="W97" s="215"/>
      <c r="X97" s="94">
        <f ca="1">ROUNDUP(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x14ac:dyDescent="0.2">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45818.916666666439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197664</v>
      </c>
      <c r="W98" s="215"/>
      <c r="X98" s="94">
        <f ca="1">ROUNDUP(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x14ac:dyDescent="0.2">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45818.958333333103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198163</v>
      </c>
      <c r="W99" s="215"/>
      <c r="X99" s="94">
        <f ca="1">ROUNDUP(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x14ac:dyDescent="0.2">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45818.999999999767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198657</v>
      </c>
      <c r="W100" s="215"/>
      <c r="X100" s="94">
        <f ca="1">ROUNDUP(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x14ac:dyDescent="0.2">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45819.041666666431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199145</v>
      </c>
      <c r="W101" s="215"/>
      <c r="X101" s="94">
        <f ca="1">ROUNDUP(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x14ac:dyDescent="0.2">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45819.083333333096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199628</v>
      </c>
      <c r="W102" s="215"/>
      <c r="X102" s="94">
        <f ca="1">ROUNDUP(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x14ac:dyDescent="0.2">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45819.12499999976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200105</v>
      </c>
      <c r="W103" s="215"/>
      <c r="X103" s="94">
        <f ca="1">ROUNDUP(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x14ac:dyDescent="0.2">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45819.166666666424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200577</v>
      </c>
      <c r="W104" s="215"/>
      <c r="X104" s="94">
        <f ca="1">ROUNDUP(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x14ac:dyDescent="0.2">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45819.208333333088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201044</v>
      </c>
      <c r="W105" s="215"/>
      <c r="X105" s="94">
        <f ca="1">ROUNDUP(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x14ac:dyDescent="0.2">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45819.249999999753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201505</v>
      </c>
      <c r="W106" s="215"/>
      <c r="X106" s="94">
        <f ca="1">ROUNDUP(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x14ac:dyDescent="0.2">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45819.291666666417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201961</v>
      </c>
      <c r="W107" s="215"/>
      <c r="X107" s="94">
        <f ca="1">ROUNDUP(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x14ac:dyDescent="0.2">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45819.333333333081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202411</v>
      </c>
      <c r="W108" s="215"/>
      <c r="X108" s="94">
        <f ca="1">ROUNDUP(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x14ac:dyDescent="0.2">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45819.374999999745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202856</v>
      </c>
      <c r="W109" s="215"/>
      <c r="X109" s="94">
        <f ca="1">ROUNDUP(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x14ac:dyDescent="0.2">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45819.41666666641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203296</v>
      </c>
      <c r="W110" s="215"/>
      <c r="X110" s="94">
        <f ca="1">ROUNDUP(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x14ac:dyDescent="0.2">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45819.458333333074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203730</v>
      </c>
      <c r="W111" s="215"/>
      <c r="X111" s="94">
        <f ca="1">ROUNDUP(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x14ac:dyDescent="0.2">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45819.499999999738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204159</v>
      </c>
      <c r="W112" s="215"/>
      <c r="X112" s="94">
        <f ca="1">ROUNDUP(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x14ac:dyDescent="0.2">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45819.541666666402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204582</v>
      </c>
      <c r="W113" s="215"/>
      <c r="X113" s="94">
        <f ca="1">ROUNDUP(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x14ac:dyDescent="0.2">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45819.583333333067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205000</v>
      </c>
      <c r="W114" s="215"/>
      <c r="X114" s="94">
        <f ca="1">ROUNDUP(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x14ac:dyDescent="0.2">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45819.624999999731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205413</v>
      </c>
      <c r="W115" s="215"/>
      <c r="X115" s="94">
        <f ca="1">ROUNDUP(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x14ac:dyDescent="0.2">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45819.666666666395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205820</v>
      </c>
      <c r="W116" s="215"/>
      <c r="X116" s="94">
        <f ca="1">ROUNDUP(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x14ac:dyDescent="0.2">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45819.708333333059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206222</v>
      </c>
      <c r="W117" s="215"/>
      <c r="X117" s="94">
        <f ca="1">ROUNDUP(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x14ac:dyDescent="0.2">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45819.749999999724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206621</v>
      </c>
      <c r="W118" s="215"/>
      <c r="X118" s="94">
        <f ca="1">ROUNDUP(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x14ac:dyDescent="0.2">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45819.791666666388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207017</v>
      </c>
      <c r="W119" s="215"/>
      <c r="X119" s="94">
        <f ca="1">ROUNDUP(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x14ac:dyDescent="0.2">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45819.833333333052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207411</v>
      </c>
      <c r="W120" s="215"/>
      <c r="X120" s="94">
        <f ca="1">ROUNDUP(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x14ac:dyDescent="0.2">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45819.874999999716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207802</v>
      </c>
      <c r="W121" s="215"/>
      <c r="X121" s="94">
        <f ca="1">ROUNDUP(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x14ac:dyDescent="0.2">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45819.91666666638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208190</v>
      </c>
      <c r="W122" s="215"/>
      <c r="X122" s="94">
        <f ca="1">ROUNDUP(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x14ac:dyDescent="0.2">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45819.958333333045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208576</v>
      </c>
      <c r="W123" s="215"/>
      <c r="X123" s="94">
        <f ca="1">ROUNDUP(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x14ac:dyDescent="0.2">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45819.999999999709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208959</v>
      </c>
      <c r="W124" s="215"/>
      <c r="X124" s="94">
        <f ca="1">ROUNDUP(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x14ac:dyDescent="0.2">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45820.041666666373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209339</v>
      </c>
      <c r="W125" s="215"/>
      <c r="X125" s="94">
        <f ca="1">ROUNDUP(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x14ac:dyDescent="0.2">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45820.083333333037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209717</v>
      </c>
      <c r="W126" s="215"/>
      <c r="X126" s="94">
        <f ca="1">ROUNDUP(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x14ac:dyDescent="0.2">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45820.124999999702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210092</v>
      </c>
      <c r="W127" s="215"/>
      <c r="X127" s="94">
        <f ca="1">ROUNDUP(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x14ac:dyDescent="0.2">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45820.166666666366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210464</v>
      </c>
      <c r="W128" s="215"/>
      <c r="X128" s="94">
        <f ca="1">ROUNDUP(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x14ac:dyDescent="0.2">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45820.20833333303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210833</v>
      </c>
      <c r="W129" s="215"/>
      <c r="X129" s="94">
        <f ca="1">ROUNDUP(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x14ac:dyDescent="0.2">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45820.249999999694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211200</v>
      </c>
      <c r="W130" s="215"/>
      <c r="X130" s="94">
        <f ca="1">ROUNDUP(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x14ac:dyDescent="0.2">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45820.291666666359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211564</v>
      </c>
      <c r="W131" s="215"/>
      <c r="X131" s="94">
        <f ca="1">ROUNDUP(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x14ac:dyDescent="0.2">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45820.333333333023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211925</v>
      </c>
      <c r="W132" s="215"/>
      <c r="X132" s="94">
        <f ca="1">ROUNDUP(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x14ac:dyDescent="0.2">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45820.374999999687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212284</v>
      </c>
      <c r="W133" s="215"/>
      <c r="X133" s="94">
        <f ca="1">ROUNDUP(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x14ac:dyDescent="0.2">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45820.416666666351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212640</v>
      </c>
      <c r="W134" s="215"/>
      <c r="X134" s="94">
        <f ca="1">ROUNDUP(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x14ac:dyDescent="0.2">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45820.458333333016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212993</v>
      </c>
      <c r="W135" s="215"/>
      <c r="X135" s="94">
        <f ca="1">ROUNDUP(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x14ac:dyDescent="0.2">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45820.49999999968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213344</v>
      </c>
      <c r="W136" s="215"/>
      <c r="X136" s="94">
        <f ca="1">ROUNDUP(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x14ac:dyDescent="0.2">
      <c r="A1269" s="531" t="s">
        <v>314</v>
      </c>
      <c r="B1269" s="531"/>
      <c r="I1269" s="238" t="s">
        <v>304</v>
      </c>
      <c r="L1269" s="239"/>
      <c r="M1269" s="239">
        <v>-10</v>
      </c>
      <c r="N1269" s="239">
        <v>10</v>
      </c>
      <c r="O1269" s="239"/>
      <c r="P1269" s="239"/>
      <c r="Q1269" s="239"/>
      <c r="R1269" s="239"/>
    </row>
    <row r="1270" spans="1:18" x14ac:dyDescent="0.2">
      <c r="A1270" s="28">
        <f>Overview!E17</f>
        <v>0</v>
      </c>
      <c r="B1270" s="28"/>
      <c r="L1270" s="536" t="s">
        <v>303</v>
      </c>
      <c r="M1270" s="487"/>
      <c r="N1270" s="487"/>
      <c r="O1270" s="487"/>
      <c r="P1270" s="487"/>
      <c r="Q1270" s="487"/>
      <c r="R1270" s="487"/>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$J4=49</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topLeftCell="R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0" style="45" hidden="1" customWidth="1"/>
    <col min="114" max="16384" width="9.140625" style="45"/>
  </cols>
  <sheetData>
    <row r="1" spans="1:113" x14ac:dyDescent="0.2">
      <c r="A1" s="5"/>
      <c r="B1" s="5"/>
      <c r="C1" s="5"/>
      <c r="D1" s="5"/>
      <c r="E1" s="5"/>
      <c r="F1" s="5"/>
      <c r="G1" s="5"/>
      <c r="H1" s="5"/>
      <c r="I1" s="5"/>
      <c r="J1" s="5"/>
      <c r="K1" s="5"/>
      <c r="L1" s="5"/>
      <c r="M1" s="5"/>
      <c r="N1" s="5"/>
      <c r="O1" s="5"/>
      <c r="P1" s="532" t="s">
        <v>31</v>
      </c>
      <c r="Q1" s="532"/>
      <c r="R1" s="532"/>
      <c r="S1" s="537" t="s">
        <v>472</v>
      </c>
      <c r="T1" s="532"/>
      <c r="U1" s="173"/>
      <c r="V1" s="532" t="s">
        <v>473</v>
      </c>
      <c r="W1" s="532"/>
      <c r="X1" s="5"/>
      <c r="Y1" s="532" t="s">
        <v>24</v>
      </c>
      <c r="Z1" s="532"/>
      <c r="AA1" s="532"/>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2" t="s">
        <v>488</v>
      </c>
      <c r="BJ1" s="532"/>
      <c r="BK1" s="532"/>
      <c r="BL1" s="532"/>
      <c r="BM1" s="532"/>
      <c r="BN1" s="532"/>
      <c r="BO1" s="532"/>
      <c r="BP1" s="532"/>
      <c r="BQ1" s="533"/>
      <c r="BR1" s="533"/>
      <c r="BS1" s="533"/>
      <c r="BT1" s="533"/>
      <c r="BU1" s="5"/>
      <c r="BW1" s="534" t="s">
        <v>296</v>
      </c>
      <c r="BX1" s="487"/>
      <c r="BY1" s="487"/>
      <c r="BZ1" s="28"/>
      <c r="CA1" s="5"/>
      <c r="CB1" s="5"/>
      <c r="CC1" s="28"/>
      <c r="CD1" s="28"/>
      <c r="CE1" s="28"/>
      <c r="CF1" s="28"/>
      <c r="CG1" s="28"/>
      <c r="CH1" s="28"/>
      <c r="CI1" s="28"/>
      <c r="CJ1" s="28"/>
      <c r="CK1" s="5"/>
      <c r="CL1" s="5"/>
      <c r="CM1" s="5"/>
      <c r="CO1" s="532" t="s">
        <v>310</v>
      </c>
      <c r="CP1" s="532"/>
      <c r="CQ1" s="532"/>
      <c r="CR1" s="533"/>
      <c r="CS1" s="533"/>
      <c r="CT1" s="533"/>
      <c r="CU1" s="533"/>
      <c r="CV1" s="533"/>
      <c r="CW1" s="533"/>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1144</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1141</v>
      </c>
      <c r="CM3" s="135" t="s">
        <v>1140</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x14ac:dyDescent="0.2">
      <c r="A4" s="137">
        <f>TblRezone[[#This Row],[Hour]]</f>
        <v>1</v>
      </c>
      <c r="B4" s="246">
        <f ca="1">SUM(TblMili[[#This Row],[Unit 1]:[Archmages]])+SUM(TblMili[[#This Row],[Train Unit 1]:[Train Unit 4]])+TblMili[[#This Row],[Draftees]]</f>
        <v>300</v>
      </c>
      <c r="C4" s="157">
        <f ca="1">TblPop[[#This Row],[Military%]]</f>
        <v>0.39011703511053314</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300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300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300</v>
      </c>
      <c r="AB4" s="154"/>
      <c r="AC4" s="180">
        <f ca="1">(TblConstr[[#This Row],[Tot Smi]]+TblConstr[[#This Row],[Dest Smi]])/(TblConstr[[#This Row],[Land]]-TblExplore[[#This Row],[Land Bonus]]*20)</f>
        <v>0</v>
      </c>
      <c r="AD4" s="246"/>
      <c r="AE4" s="246">
        <f>TblMili[[#This Row],[Hour]]</f>
        <v>1</v>
      </c>
      <c r="AF4" s="138">
        <f>TblExplore[[#This Row],[Time]]</f>
        <v>45815</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120000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45815</v>
      </c>
      <c r="AW4" s="94">
        <f ca="1">TblMili[[#This Row],[Draftees]]</f>
        <v>300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Demonic Pact]]&gt;0,MIN(TblMili[[#This Row],[Unit 1]],TblMili[[#This Row],[Unit 4]])*demonic_pact_oppair,0)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x14ac:dyDescent="0.2">
      <c r="A5" s="137">
        <f>TblRezone[[#This Row],[Hour]]</f>
        <v>2</v>
      </c>
      <c r="B5" s="246">
        <f ca="1">SUM(TblMili[[#This Row],[Unit 1]:[Archmages]])+SUM(OFFSET(TblMili[[#This Row],[Train Unit 1]],-1,0):TblMili[[#This Row],[Train Unit 4]])+TblMili[[#This Row],[Draftees]]</f>
        <v>305</v>
      </c>
      <c r="C5" s="157">
        <f ca="1">TblPop[[#This Row],[Military%]]</f>
        <v>0.39661898569570869</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305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305</v>
      </c>
      <c r="X5" s="247">
        <f ca="1">TblConstr[[#This Row],[Land]]</f>
        <v>50</v>
      </c>
      <c r="Y5" s="250"/>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305</v>
      </c>
      <c r="AB5" s="154"/>
      <c r="AC5" s="180">
        <f ca="1">(TblConstr[[#This Row],[Tot Smi]]+TblConstr[[#This Row],[Dest Smi]])/(TblConstr[[#This Row],[Land]]-TblExplore[[#This Row],[Land Bonus]]*20)</f>
        <v>0</v>
      </c>
      <c r="AD5" s="137"/>
      <c r="AE5" s="246">
        <f>TblMili[[#This Row],[Hour]]</f>
        <v>2</v>
      </c>
      <c r="AF5" s="138">
        <f ca="1">TblExplore[[#This Row],[Time]]</f>
        <v>45815.041666666664</v>
      </c>
      <c r="AG5" s="179"/>
      <c r="AH5" s="179"/>
      <c r="AI5" s="179"/>
      <c r="AJ5" s="179"/>
      <c r="AK5" s="179"/>
      <c r="AL5" s="179"/>
      <c r="AM5" s="179"/>
      <c r="AN5" s="179"/>
      <c r="AO5" s="420">
        <f ca="1">ROUND(IF(AND(TblMagic[[#This Row],[Active DnD]]&lt;12,TblMagic[[#This Row],[Active DnD]]&gt;5),OFFSET(TblPop[[#This Row],[Draft Growth]],-1,0)*0.375,0),0)</f>
        <v>0</v>
      </c>
      <c r="AP5" s="142"/>
      <c r="AQ5" s="94">
        <f ca="1">TblProd[[#This Row],[Platinum]]</f>
        <v>121266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45815.041666666664</v>
      </c>
      <c r="AW5" s="94">
        <f ca="1">TblMili[[#This Row],[Draftees]]</f>
        <v>305</v>
      </c>
      <c r="AX5" s="158"/>
      <c r="AY5" s="179"/>
      <c r="AZ5" s="179"/>
      <c r="BA5" s="179"/>
      <c r="BB5" s="179"/>
      <c r="BC5" s="179"/>
      <c r="BD5" s="179"/>
      <c r="BE5" s="179"/>
      <c r="BF5" s="179"/>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Demonic Pact]]&gt;0,MIN(TblMili[[#This Row],[Unit 1]],TblMili[[#This Row],[Unit 4]])*demonic_pact_oppair,0)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x14ac:dyDescent="0.2">
      <c r="A6" s="137">
        <f>TblRezone[[#This Row],[Hour]]</f>
        <v>3</v>
      </c>
      <c r="B6" s="246">
        <f ca="1">SUM(TblMili[[#This Row],[Unit 1]:[Archmages]])+SUM(OFFSET(TblMili[[#This Row],[Train Unit 1]],-2,0):TblMili[[#This Row],[Train Unit 4]])+TblMili[[#This Row],[Draftees]]</f>
        <v>310</v>
      </c>
      <c r="C6" s="157">
        <f ca="1">TblPop[[#This Row],[Military%]]</f>
        <v>0.40312093628088425</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310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310</v>
      </c>
      <c r="X6" s="247">
        <f ca="1">TblConstr[[#This Row],[Land]]</f>
        <v>50</v>
      </c>
      <c r="Y6" s="250"/>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310</v>
      </c>
      <c r="AB6" s="154"/>
      <c r="AC6" s="180">
        <f ca="1">(TblConstr[[#This Row],[Tot Smi]]+TblConstr[[#This Row],[Dest Smi]])/(TblConstr[[#This Row],[Land]]-TblExplore[[#This Row],[Land Bonus]]*20)</f>
        <v>0</v>
      </c>
      <c r="AD6" s="137"/>
      <c r="AE6" s="246">
        <f>TblMili[[#This Row],[Hour]]</f>
        <v>3</v>
      </c>
      <c r="AF6" s="138">
        <f ca="1">TblExplore[[#This Row],[Time]]</f>
        <v>45815.083333333328</v>
      </c>
      <c r="AG6" s="179"/>
      <c r="AH6" s="179"/>
      <c r="AI6" s="179"/>
      <c r="AJ6" s="179"/>
      <c r="AK6" s="179"/>
      <c r="AL6" s="179"/>
      <c r="AM6" s="179"/>
      <c r="AN6" s="179"/>
      <c r="AO6" s="420">
        <f ca="1">ROUND(IF(AND(TblMagic[[#This Row],[Active DnD]]&lt;12,TblMagic[[#This Row],[Active DnD]]&gt;5),OFFSET(TblPop[[#This Row],[Draft Growth]],-1,0)*0.375,0),0)</f>
        <v>0</v>
      </c>
      <c r="AP6" s="142"/>
      <c r="AQ6" s="94">
        <f ca="1">TblProd[[#This Row],[Platinum]]</f>
        <v>122518</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45815.083333333328</v>
      </c>
      <c r="AW6" s="94">
        <f ca="1">TblMili[[#This Row],[Draftees]]</f>
        <v>310</v>
      </c>
      <c r="AX6" s="179"/>
      <c r="AY6" s="179"/>
      <c r="AZ6" s="179"/>
      <c r="BA6" s="179"/>
      <c r="BB6" s="179"/>
      <c r="BC6" s="179"/>
      <c r="BD6" s="179"/>
      <c r="BE6" s="179"/>
      <c r="BF6" s="179"/>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Demonic Pact]]&gt;0,MIN(TblMili[[#This Row],[Unit 1]],TblMili[[#This Row],[Unit 4]])*demonic_pact_oppair,0)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x14ac:dyDescent="0.2">
      <c r="A7" s="137">
        <f>TblRezone[[#This Row],[Hour]]</f>
        <v>4</v>
      </c>
      <c r="B7" s="246">
        <f ca="1">SUM(TblMili[[#This Row],[Unit 1]:[Archmages]])+SUM(OFFSET(TblMili[[#This Row],[Train Unit 1]],-3,0):TblMili[[#This Row],[Train Unit 4]])+TblMili[[#This Row],[Draftees]]</f>
        <v>315</v>
      </c>
      <c r="C7" s="157">
        <f ca="1">TblPop[[#This Row],[Military%]]</f>
        <v>0.4096228868660598</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315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315</v>
      </c>
      <c r="X7" s="247">
        <f ca="1">TblConstr[[#This Row],[Land]]</f>
        <v>50</v>
      </c>
      <c r="Y7" s="250"/>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315</v>
      </c>
      <c r="AB7" s="154"/>
      <c r="AC7" s="180">
        <f ca="1">(TblConstr[[#This Row],[Tot Smi]]+TblConstr[[#This Row],[Dest Smi]])/(TblConstr[[#This Row],[Land]]-TblExplore[[#This Row],[Land Bonus]]*20)</f>
        <v>0</v>
      </c>
      <c r="AD7" s="137"/>
      <c r="AE7" s="246">
        <f>TblMili[[#This Row],[Hour]]</f>
        <v>4</v>
      </c>
      <c r="AF7" s="138">
        <f ca="1">TblExplore[[#This Row],[Time]]</f>
        <v>45815.124999999993</v>
      </c>
      <c r="AG7" s="179"/>
      <c r="AH7" s="179"/>
      <c r="AI7" s="179"/>
      <c r="AJ7" s="179"/>
      <c r="AK7" s="179"/>
      <c r="AL7" s="179"/>
      <c r="AM7" s="179"/>
      <c r="AN7" s="179"/>
      <c r="AO7" s="420">
        <f ca="1">ROUND(IF(AND(TblMagic[[#This Row],[Active DnD]]&lt;12,TblMagic[[#This Row],[Active DnD]]&gt;5),OFFSET(TblPop[[#This Row],[Draft Growth]],-1,0)*0.375,0),0)</f>
        <v>0</v>
      </c>
      <c r="AP7" s="142"/>
      <c r="AQ7" s="94">
        <f ca="1">TblProd[[#This Row],[Platinum]]</f>
        <v>123757</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45815.124999999993</v>
      </c>
      <c r="AW7" s="94">
        <f ca="1">TblMili[[#This Row],[Draftees]]</f>
        <v>315</v>
      </c>
      <c r="AX7" s="179"/>
      <c r="AY7" s="179"/>
      <c r="AZ7" s="179"/>
      <c r="BA7" s="179"/>
      <c r="BB7" s="179"/>
      <c r="BC7" s="179"/>
      <c r="BD7" s="179"/>
      <c r="BE7" s="179"/>
      <c r="BF7" s="179"/>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Demonic Pact]]&gt;0,MIN(TblMili[[#This Row],[Unit 1]],TblMili[[#This Row],[Unit 4]])*demonic_pact_oppair,0)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x14ac:dyDescent="0.2">
      <c r="A8" s="137">
        <f>TblRezone[[#This Row],[Hour]]</f>
        <v>5</v>
      </c>
      <c r="B8" s="246">
        <f ca="1">SUM(TblMili[[#This Row],[Unit 1]:[Archmages]])+SUM(OFFSET(TblMili[[#This Row],[Train Unit 1]],-4,0):TblMili[[#This Row],[Train Unit 4]])+TblMili[[#This Row],[Draftees]]</f>
        <v>320</v>
      </c>
      <c r="C8" s="157">
        <f ca="1">TblPop[[#This Row],[Military%]]</f>
        <v>0.41612483745123535</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320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320</v>
      </c>
      <c r="X8" s="247">
        <f ca="1">TblConstr[[#This Row],[Land]]</f>
        <v>50</v>
      </c>
      <c r="Y8" s="250"/>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8" s="154"/>
      <c r="AC8" s="180">
        <f ca="1">(TblConstr[[#This Row],[Tot Smi]]+TblConstr[[#This Row],[Dest Smi]])/(TblConstr[[#This Row],[Land]]-TblExplore[[#This Row],[Land Bonus]]*20)</f>
        <v>0</v>
      </c>
      <c r="AD8" s="137"/>
      <c r="AE8" s="246">
        <f>TblMili[[#This Row],[Hour]]</f>
        <v>5</v>
      </c>
      <c r="AF8" s="138">
        <f ca="1">TblExplore[[#This Row],[Time]]</f>
        <v>45815.166666666657</v>
      </c>
      <c r="AG8" s="179"/>
      <c r="AH8" s="179"/>
      <c r="AI8" s="179"/>
      <c r="AJ8" s="179"/>
      <c r="AK8" s="179"/>
      <c r="AL8" s="179"/>
      <c r="AM8" s="179"/>
      <c r="AN8" s="179"/>
      <c r="AO8" s="420">
        <f ca="1">ROUND(IF(AND(TblMagic[[#This Row],[Active DnD]]&lt;12,TblMagic[[#This Row],[Active DnD]]&gt;5),OFFSET(TblPop[[#This Row],[Draft Growth]],-1,0)*0.375,0),0)</f>
        <v>0</v>
      </c>
      <c r="AP8" s="142"/>
      <c r="AQ8" s="94">
        <f ca="1">TblProd[[#This Row],[Platinum]]</f>
        <v>124982</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45815.166666666657</v>
      </c>
      <c r="AW8" s="94">
        <f ca="1">TblMili[[#This Row],[Draftees]]</f>
        <v>320</v>
      </c>
      <c r="AX8" s="179"/>
      <c r="AY8" s="179"/>
      <c r="AZ8" s="179"/>
      <c r="BA8" s="179"/>
      <c r="BB8" s="179"/>
      <c r="BC8" s="179"/>
      <c r="BD8" s="179"/>
      <c r="BE8" s="179"/>
      <c r="BF8" s="179"/>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Demonic Pact]]&gt;0,MIN(TblMili[[#This Row],[Unit 1]],TblMili[[#This Row],[Unit 4]])*demonic_pact_oppair,0)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x14ac:dyDescent="0.2">
      <c r="A9" s="137">
        <f>TblRezone[[#This Row],[Hour]]</f>
        <v>6</v>
      </c>
      <c r="B9" s="246">
        <f ca="1">SUM(TblMili[[#This Row],[Unit 1]:[Archmages]])+SUM(OFFSET(TblMili[[#This Row],[Train Unit 1]],-5,0):TblMili[[#This Row],[Train Unit 4]])+TblMili[[#This Row],[Draftees]]</f>
        <v>324</v>
      </c>
      <c r="C9" s="157">
        <f ca="1">TblPop[[#This Row],[Military%]]</f>
        <v>0.42132639791937582</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324</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324</v>
      </c>
      <c r="X9" s="247">
        <f ca="1">TblConstr[[#This Row],[Land]]</f>
        <v>50</v>
      </c>
      <c r="Y9" s="250"/>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9" s="154"/>
      <c r="AC9" s="180">
        <f ca="1">(TblConstr[[#This Row],[Tot Smi]]+TblConstr[[#This Row],[Dest Smi]])/(TblConstr[[#This Row],[Land]]-TblExplore[[#This Row],[Land Bonus]]*20)</f>
        <v>0</v>
      </c>
      <c r="AD9" s="137"/>
      <c r="AE9" s="246">
        <f>TblMili[[#This Row],[Hour]]</f>
        <v>6</v>
      </c>
      <c r="AF9" s="138">
        <f ca="1">TblExplore[[#This Row],[Time]]</f>
        <v>45815.208333333321</v>
      </c>
      <c r="AG9" s="179"/>
      <c r="AH9" s="179"/>
      <c r="AI9" s="179"/>
      <c r="AJ9" s="179"/>
      <c r="AK9" s="179"/>
      <c r="AL9" s="179"/>
      <c r="AM9" s="179"/>
      <c r="AN9" s="179"/>
      <c r="AO9" s="420">
        <f ca="1">ROUND(IF(AND(TblMagic[[#This Row],[Active DnD]]&lt;12,TblMagic[[#This Row],[Active DnD]]&gt;5),OFFSET(TblPop[[#This Row],[Draft Growth]],-1,0)*0.375,0),0)</f>
        <v>0</v>
      </c>
      <c r="AP9" s="142"/>
      <c r="AQ9" s="94">
        <f ca="1">TblProd[[#This Row],[Platinum]]</f>
        <v>126194</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45815.208333333321</v>
      </c>
      <c r="AW9" s="94">
        <f ca="1">TblMili[[#This Row],[Draftees]]</f>
        <v>324</v>
      </c>
      <c r="AX9" s="179"/>
      <c r="AY9" s="179"/>
      <c r="AZ9" s="179"/>
      <c r="BA9" s="179"/>
      <c r="BB9" s="179"/>
      <c r="BC9" s="179"/>
      <c r="BD9" s="179"/>
      <c r="BE9" s="179"/>
      <c r="BF9" s="179"/>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Demonic Pact]]&gt;0,MIN(TblMili[[#This Row],[Unit 1]],TblMili[[#This Row],[Unit 4]])*demonic_pact_oppair,0)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x14ac:dyDescent="0.2">
      <c r="A10" s="137">
        <f>TblRezone[[#This Row],[Hour]]</f>
        <v>7</v>
      </c>
      <c r="B10" s="246">
        <f ca="1">SUM(TblMili[[#This Row],[Unit 1]:[Archmages]])+SUM(OFFSET(TblMili[[#This Row],[Train Unit 1]],-6,0):TblMili[[#This Row],[Train Unit 4]])+TblMili[[#This Row],[Draftees]]</f>
        <v>328</v>
      </c>
      <c r="C10" s="157">
        <f ca="1">TblPop[[#This Row],[Military%]]</f>
        <v>0.42652795838751628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328</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328</v>
      </c>
      <c r="X10" s="247">
        <f ca="1">TblConstr[[#This Row],[Land]]</f>
        <v>50</v>
      </c>
      <c r="Y10" s="250"/>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10" s="154"/>
      <c r="AC10" s="180">
        <f ca="1">(TblConstr[[#This Row],[Tot Smi]]+TblConstr[[#This Row],[Dest Smi]])/(TblConstr[[#This Row],[Land]]-TblExplore[[#This Row],[Land Bonus]]*20)</f>
        <v>0</v>
      </c>
      <c r="AD10" s="137"/>
      <c r="AE10" s="246">
        <f>TblMili[[#This Row],[Hour]]</f>
        <v>7</v>
      </c>
      <c r="AF10" s="138">
        <f ca="1">TblExplore[[#This Row],[Time]]</f>
        <v>45815.249999999985</v>
      </c>
      <c r="AG10" s="179"/>
      <c r="AH10" s="179"/>
      <c r="AI10" s="179"/>
      <c r="AJ10" s="179"/>
      <c r="AK10" s="179"/>
      <c r="AL10" s="179"/>
      <c r="AM10" s="179"/>
      <c r="AN10" s="179"/>
      <c r="AO10" s="420">
        <f ca="1">ROUND(IF(AND(TblMagic[[#This Row],[Active DnD]]&lt;12,TblMagic[[#This Row],[Active DnD]]&gt;5),OFFSET(TblPop[[#This Row],[Draft Growth]],-1,0)*0.375,0),0)</f>
        <v>0</v>
      </c>
      <c r="AP10" s="420"/>
      <c r="AQ10" s="94">
        <f ca="1">TblProd[[#This Row],[Platinum]]</f>
        <v>127395</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45815.249999999985</v>
      </c>
      <c r="AW10" s="94">
        <f ca="1">TblMili[[#This Row],[Draftees]]</f>
        <v>328</v>
      </c>
      <c r="AX10" s="179"/>
      <c r="AY10" s="179"/>
      <c r="AZ10" s="179"/>
      <c r="BA10" s="179"/>
      <c r="BB10" s="179"/>
      <c r="BC10" s="179"/>
      <c r="BD10" s="179"/>
      <c r="BE10" s="179"/>
      <c r="BF10" s="179"/>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Demonic Pact]]&gt;0,MIN(TblMili[[#This Row],[Unit 1]],TblMili[[#This Row],[Unit 4]])*demonic_pact_oppair,0)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x14ac:dyDescent="0.2">
      <c r="A11" s="137">
        <f>TblRezone[[#This Row],[Hour]]</f>
        <v>8</v>
      </c>
      <c r="B11" s="246">
        <f ca="1">SUM(TblMili[[#This Row],[Unit 1]:[Archmages]])+SUM(OFFSET(TblMili[[#This Row],[Train Unit 1]],-7,0):TblMili[[#This Row],[Train Unit 4]])+TblMili[[#This Row],[Draftees]]</f>
        <v>332</v>
      </c>
      <c r="C11" s="157">
        <f ca="1">TblPop[[#This Row],[Military%]]</f>
        <v>0.43172951885565669</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332</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332</v>
      </c>
      <c r="X11" s="247">
        <f ca="1">TblConstr[[#This Row],[Land]]</f>
        <v>50</v>
      </c>
      <c r="Y11" s="250"/>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332</v>
      </c>
      <c r="AB11" s="154"/>
      <c r="AC11" s="180">
        <f ca="1">(TblConstr[[#This Row],[Tot Smi]]+TblConstr[[#This Row],[Dest Smi]])/(TblConstr[[#This Row],[Land]]-TblExplore[[#This Row],[Land Bonus]]*20)</f>
        <v>0</v>
      </c>
      <c r="AD11" s="137"/>
      <c r="AE11" s="246">
        <f>TblMili[[#This Row],[Hour]]</f>
        <v>8</v>
      </c>
      <c r="AF11" s="138">
        <f ca="1">TblExplore[[#This Row],[Time]]</f>
        <v>45815.29166666665</v>
      </c>
      <c r="AG11" s="179"/>
      <c r="AH11" s="179"/>
      <c r="AI11" s="179"/>
      <c r="AJ11" s="179"/>
      <c r="AK11" s="179"/>
      <c r="AL11" s="179"/>
      <c r="AM11" s="179"/>
      <c r="AN11" s="179"/>
      <c r="AO11" s="420">
        <f ca="1">ROUND(IF(AND(TblMagic[[#This Row],[Active DnD]]&lt;12,TblMagic[[#This Row],[Active DnD]]&gt;5),OFFSET(TblPop[[#This Row],[Draft Growth]],-1,0)*0.375,0),0)</f>
        <v>0</v>
      </c>
      <c r="AP11" s="142"/>
      <c r="AQ11" s="94">
        <f ca="1">TblProd[[#This Row],[Platinum]]</f>
        <v>128585</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45815.29166666665</v>
      </c>
      <c r="AW11" s="94">
        <f ca="1">TblMili[[#This Row],[Draftees]]</f>
        <v>332</v>
      </c>
      <c r="AX11" s="179"/>
      <c r="AY11" s="179"/>
      <c r="AZ11" s="179"/>
      <c r="BA11" s="179"/>
      <c r="BB11" s="179"/>
      <c r="BC11" s="179"/>
      <c r="BD11" s="179"/>
      <c r="BE11" s="179"/>
      <c r="BF11" s="179"/>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Demonic Pact]]&gt;0,MIN(TblMili[[#This Row],[Unit 1]],TblMili[[#This Row],[Unit 4]])*demonic_pact_oppair,0)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x14ac:dyDescent="0.2">
      <c r="A12" s="137">
        <f>TblRezone[[#This Row],[Hour]]</f>
        <v>9</v>
      </c>
      <c r="B12" s="246">
        <f ca="1">SUM(TblMili[[#This Row],[Unit 1]:[Archmages]])+SUM(OFFSET(TblMili[[#This Row],[Train Unit 1]],-8,0):TblMili[[#This Row],[Train Unit 4]])+TblMili[[#This Row],[Draftees]]</f>
        <v>336</v>
      </c>
      <c r="C12" s="157">
        <f ca="1">TblPop[[#This Row],[Military%]]</f>
        <v>0.43693107932379716</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336</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336</v>
      </c>
      <c r="X12" s="247">
        <f ca="1">TblConstr[[#This Row],[Land]]</f>
        <v>50</v>
      </c>
      <c r="Y12" s="250"/>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336</v>
      </c>
      <c r="AB12" s="154"/>
      <c r="AC12" s="180">
        <f ca="1">(TblConstr[[#This Row],[Tot Smi]]+TblConstr[[#This Row],[Dest Smi]])/(TblConstr[[#This Row],[Land]]-TblExplore[[#This Row],[Land Bonus]]*20)</f>
        <v>0</v>
      </c>
      <c r="AD12" s="137"/>
      <c r="AE12" s="246">
        <f>TblMili[[#This Row],[Hour]]</f>
        <v>9</v>
      </c>
      <c r="AF12" s="138">
        <f ca="1">TblExplore[[#This Row],[Time]]</f>
        <v>45815.333333333314</v>
      </c>
      <c r="AG12" s="179"/>
      <c r="AH12" s="179"/>
      <c r="AI12" s="179"/>
      <c r="AJ12" s="179"/>
      <c r="AK12" s="179"/>
      <c r="AL12" s="179"/>
      <c r="AM12" s="179"/>
      <c r="AN12" s="179"/>
      <c r="AO12" s="420">
        <f ca="1">ROUND(IF(AND(TblMagic[[#This Row],[Active DnD]]&lt;12,TblMagic[[#This Row],[Active DnD]]&gt;5),OFFSET(TblPop[[#This Row],[Draft Growth]],-1,0)*0.375,0),0)</f>
        <v>0</v>
      </c>
      <c r="AP12" s="142"/>
      <c r="AQ12" s="94">
        <f ca="1">TblProd[[#This Row],[Platinum]]</f>
        <v>129764</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45815.333333333314</v>
      </c>
      <c r="AW12" s="94">
        <f ca="1">TblMili[[#This Row],[Draftees]]</f>
        <v>336</v>
      </c>
      <c r="AX12" s="179"/>
      <c r="AY12" s="179"/>
      <c r="AZ12" s="179"/>
      <c r="BA12" s="179"/>
      <c r="BB12" s="179"/>
      <c r="BC12" s="179"/>
      <c r="BD12" s="179"/>
      <c r="BE12" s="179"/>
      <c r="BF12" s="179"/>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Demonic Pact]]&gt;0,MIN(TblMili[[#This Row],[Unit 1]],TblMili[[#This Row],[Unit 4]])*demonic_pact_oppair,0)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x14ac:dyDescent="0.2">
      <c r="A13" s="137">
        <f>TblRezone[[#This Row],[Hour]]</f>
        <v>10</v>
      </c>
      <c r="B13" s="246">
        <f ca="1">SUM(TblMili[[#This Row],[Unit 1]:[Archmages]])+SUM(OFFSET(TblMili[[#This Row],[Train Unit 1]],-8,0):TblMili[[#This Row],[Train Unit 2]]) + SUM(OFFSET(TblMili[[#This Row],[Train Unit 3]],-9,0):TblMili[[#This Row],[Train Unit 4]]) + TblMili[[#This Row],[Draftees]]</f>
        <v>340</v>
      </c>
      <c r="C13" s="157">
        <f ca="1">TblPop[[#This Row],[Military%]]</f>
        <v>0.44213263979193757</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340</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340</v>
      </c>
      <c r="X13" s="247">
        <f ca="1">TblConstr[[#This Row],[Land]]</f>
        <v>50</v>
      </c>
      <c r="Y13" s="250"/>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13" s="154"/>
      <c r="AC13" s="180">
        <f ca="1">(TblConstr[[#This Row],[Tot Smi]]+TblConstr[[#This Row],[Dest Smi]])/(TblConstr[[#This Row],[Land]]-TblExplore[[#This Row],[Land Bonus]]*20)</f>
        <v>0</v>
      </c>
      <c r="AD13" s="137"/>
      <c r="AE13" s="246">
        <f>TblMili[[#This Row],[Hour]]</f>
        <v>10</v>
      </c>
      <c r="AF13" s="138">
        <f ca="1">TblExplore[[#This Row],[Time]]</f>
        <v>45815.374999999978</v>
      </c>
      <c r="AG13" s="179"/>
      <c r="AH13" s="179"/>
      <c r="AI13" s="179"/>
      <c r="AJ13" s="179"/>
      <c r="AK13" s="179"/>
      <c r="AL13" s="179"/>
      <c r="AM13" s="179"/>
      <c r="AN13" s="179"/>
      <c r="AO13" s="420">
        <f ca="1">ROUND(IF(AND(TblMagic[[#This Row],[Active DnD]]&lt;12,TblMagic[[#This Row],[Active DnD]]&gt;5),OFFSET(TblPop[[#This Row],[Draft Growth]],-1,0)*0.375,0),0)</f>
        <v>0</v>
      </c>
      <c r="AP13" s="142"/>
      <c r="AQ13" s="94">
        <f ca="1">TblProd[[#This Row],[Platinum]]</f>
        <v>130933</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45815.374999999978</v>
      </c>
      <c r="AW13" s="94">
        <f ca="1">TblMili[[#This Row],[Draftees]]</f>
        <v>340</v>
      </c>
      <c r="AX13" s="179"/>
      <c r="AY13" s="179"/>
      <c r="AZ13" s="179"/>
      <c r="BA13" s="179"/>
      <c r="BB13" s="179"/>
      <c r="BC13" s="179"/>
      <c r="BD13" s="179"/>
      <c r="BE13" s="179"/>
      <c r="BF13" s="179"/>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Demonic Pact]]&gt;0,MIN(TblMili[[#This Row],[Unit 1]],TblMili[[#This Row],[Unit 4]])*demonic_pact_oppair,0)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x14ac:dyDescent="0.2">
      <c r="A14" s="137">
        <f>TblRezone[[#This Row],[Hour]]</f>
        <v>11</v>
      </c>
      <c r="B14" s="246">
        <f ca="1">SUM(TblMili[[#This Row],[Unit 1]:[Archmages]])+SUM(OFFSET(TblMili[[#This Row],[Train Unit 1]],-8,0):TblMili[[#This Row],[Train Unit 2]]) + SUM(OFFSET(TblMili[[#This Row],[Train Unit 3]],-10,0):TblMili[[#This Row],[Train Unit 4]]) + TblMili[[#This Row],[Draftees]]</f>
        <v>344</v>
      </c>
      <c r="C14" s="157">
        <f ca="1">TblPop[[#This Row],[Military%]]</f>
        <v>0.44733420026007803</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344</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344</v>
      </c>
      <c r="X14" s="247">
        <f ca="1">TblConstr[[#This Row],[Land]]</f>
        <v>50</v>
      </c>
      <c r="Y14" s="250"/>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344</v>
      </c>
      <c r="AB14" s="154"/>
      <c r="AC14" s="180">
        <f ca="1">(TblConstr[[#This Row],[Tot Smi]]+TblConstr[[#This Row],[Dest Smi]])/(TblConstr[[#This Row],[Land]]-TblExplore[[#This Row],[Land Bonus]]*20)</f>
        <v>0</v>
      </c>
      <c r="AD14" s="137"/>
      <c r="AE14" s="246">
        <f>TblMili[[#This Row],[Hour]]</f>
        <v>11</v>
      </c>
      <c r="AF14" s="138">
        <f ca="1">TblExplore[[#This Row],[Time]]</f>
        <v>45815.416666666642</v>
      </c>
      <c r="AG14" s="179"/>
      <c r="AH14" s="179"/>
      <c r="AI14" s="179"/>
      <c r="AJ14" s="179"/>
      <c r="AK14" s="179"/>
      <c r="AL14" s="179"/>
      <c r="AM14" s="179"/>
      <c r="AN14" s="179"/>
      <c r="AO14" s="420">
        <f ca="1">ROUND(IF(AND(TblMagic[[#This Row],[Active DnD]]&lt;12,TblMagic[[#This Row],[Active DnD]]&gt;5),OFFSET(TblPop[[#This Row],[Draft Growth]],-1,0)*0.375,0),0)</f>
        <v>0</v>
      </c>
      <c r="AP14" s="142"/>
      <c r="AQ14" s="94">
        <f ca="1">TblProd[[#This Row],[Platinum]]</f>
        <v>132091</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45815.416666666642</v>
      </c>
      <c r="AW14" s="94">
        <f ca="1">TblMili[[#This Row],[Draftees]]</f>
        <v>344</v>
      </c>
      <c r="AX14" s="179"/>
      <c r="AY14" s="179"/>
      <c r="AZ14" s="179"/>
      <c r="BA14" s="179"/>
      <c r="BB14" s="179"/>
      <c r="BC14" s="179"/>
      <c r="BD14" s="179"/>
      <c r="BE14" s="179"/>
      <c r="BF14" s="179"/>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Demonic Pact]]&gt;0,MIN(TblMili[[#This Row],[Unit 1]],TblMili[[#This Row],[Unit 4]])*demonic_pact_oppair,0)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x14ac:dyDescent="0.2">
      <c r="A15" s="137">
        <f>TblRezone[[#This Row],[Hour]]</f>
        <v>12</v>
      </c>
      <c r="B15" s="246">
        <f ca="1">SUM(TblMili[[#This Row],[Unit 1]:[Archmages]])+SUM(OFFSET(TblMili[[#This Row],[Train Unit 1]],-8,0):TblMili[[#This Row],[Train Unit 2]]) + SUM(OFFSET(TblMili[[#This Row],[Train Unit 3]],-11,0):TblMili[[#This Row],[Train Unit 4]]) + TblMili[[#This Row],[Draftees]]</f>
        <v>348</v>
      </c>
      <c r="C15" s="157">
        <f ca="1">TblPop[[#This Row],[Military%]]</f>
        <v>0.45253576072821844</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348</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348</v>
      </c>
      <c r="X15" s="247">
        <f ca="1">TblConstr[[#This Row],[Land]]</f>
        <v>50</v>
      </c>
      <c r="Y15" s="250"/>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348</v>
      </c>
      <c r="AB15" s="154"/>
      <c r="AC15" s="180">
        <f ca="1">(TblConstr[[#This Row],[Tot Smi]]+TblConstr[[#This Row],[Dest Smi]])/(TblConstr[[#This Row],[Land]]-TblExplore[[#This Row],[Land Bonus]]*20)</f>
        <v>0</v>
      </c>
      <c r="AD15" s="137"/>
      <c r="AE15" s="246">
        <f>TblMili[[#This Row],[Hour]]</f>
        <v>12</v>
      </c>
      <c r="AF15" s="138">
        <f ca="1">TblExplore[[#This Row],[Time]]</f>
        <v>45815.458333333307</v>
      </c>
      <c r="AG15" s="179"/>
      <c r="AH15" s="179"/>
      <c r="AI15" s="179"/>
      <c r="AJ15" s="179"/>
      <c r="AK15" s="179"/>
      <c r="AL15" s="179"/>
      <c r="AM15" s="179"/>
      <c r="AN15" s="179"/>
      <c r="AO15" s="420">
        <f ca="1">ROUND(IF(AND(TblMagic[[#This Row],[Active DnD]]&lt;12,TblMagic[[#This Row],[Active DnD]]&gt;5),OFFSET(TblPop[[#This Row],[Draft Growth]],-1,0)*0.375,0),0)</f>
        <v>0</v>
      </c>
      <c r="AP15" s="142"/>
      <c r="AQ15" s="94">
        <f ca="1">TblProd[[#This Row],[Platinum]]</f>
        <v>133238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45815.458333333307</v>
      </c>
      <c r="AW15" s="94">
        <f ca="1">TblMili[[#This Row],[Draftees]]</f>
        <v>348</v>
      </c>
      <c r="AX15" s="179"/>
      <c r="AY15" s="179"/>
      <c r="AZ15" s="179"/>
      <c r="BA15" s="179"/>
      <c r="BB15" s="179"/>
      <c r="BC15" s="179"/>
      <c r="BD15" s="179"/>
      <c r="BE15" s="179"/>
      <c r="BF15" s="179"/>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Demonic Pact]]&gt;0,MIN(TblMili[[#This Row],[Unit 1]],TblMili[[#This Row],[Unit 4]])*demonic_pact_oppair,0)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352</v>
      </c>
      <c r="C16" s="157">
        <f ca="1">TblPop[[#This Row],[Military%]]</f>
        <v>0.4577373211963589</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352</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352</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352</v>
      </c>
      <c r="AB16" s="154"/>
      <c r="AC16" s="180">
        <f ca="1">(TblConstr[[#This Row],[Tot Smi]]+TblConstr[[#This Row],[Dest Smi]])/(TblConstr[[#This Row],[Land]]-TblExplore[[#This Row],[Land Bonus]]*20)</f>
        <v>0</v>
      </c>
      <c r="AD16" s="246"/>
      <c r="AE16" s="246">
        <f>TblMili[[#This Row],[Hour]]</f>
        <v>13</v>
      </c>
      <c r="AF16" s="138">
        <f ca="1">TblExplore[[#This Row],[Time]]</f>
        <v>45815.499999999971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134374</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45815.499999999971</v>
      </c>
      <c r="AW16" s="94">
        <f ca="1">TblMili[[#This Row],[Draftees]]</f>
        <v>352</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Demonic Pact]]&gt;0,MIN(TblMili[[#This Row],[Unit 1]],TblMili[[#This Row],[Unit 4]])*demonic_pact_oppair,0)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0.80000000000000071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x14ac:dyDescent="0.2">
      <c r="A17" s="137">
        <f>TblRezone[[#This Row],[Hour]]</f>
        <v>14</v>
      </c>
      <c r="B17" s="246">
        <f ca="1">SUM(TblMili[[#This Row],[Unit 1]:[Archmages]])+SUM(OFFSET(TblMili[[#This Row],[Train Unit 1]],-8,0):TblMili[[#This Row],[Train Unit 2]]) + SUM(OFFSET(TblMili[[#This Row],[Train Unit 3]],-11,0):TblMili[[#This Row],[Train AM]]) + TblMili[[#This Row],[Draftees]]</f>
        <v>356</v>
      </c>
      <c r="C17" s="157">
        <f ca="1">TblPop[[#This Row],[Military%]]</f>
        <v>0.46293888166449937</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356</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356</v>
      </c>
      <c r="X17" s="247">
        <f ca="1">TblConstr[[#This Row],[Land]]</f>
        <v>50</v>
      </c>
      <c r="Y17" s="250"/>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17" s="154"/>
      <c r="AC17" s="180">
        <f ca="1">(TblConstr[[#This Row],[Tot Smi]]+TblConstr[[#This Row],[Dest Smi]])/(TblConstr[[#This Row],[Land]]-TblExplore[[#This Row],[Land Bonus]]*20)</f>
        <v>0</v>
      </c>
      <c r="AD17" s="137"/>
      <c r="AE17" s="246">
        <f>TblMili[[#This Row],[Hour]]</f>
        <v>14</v>
      </c>
      <c r="AF17" s="138">
        <f ca="1">TblExplore[[#This Row],[Time]]</f>
        <v>45815.541666666635</v>
      </c>
      <c r="AG17" s="179"/>
      <c r="AH17" s="179"/>
      <c r="AI17" s="179"/>
      <c r="AJ17" s="179"/>
      <c r="AK17" s="179"/>
      <c r="AL17" s="179"/>
      <c r="AM17" s="179"/>
      <c r="AN17" s="179"/>
      <c r="AO17" s="420">
        <f ca="1">ROUND(IF(AND(TblMagic[[#This Row],[Active DnD]]&lt;12,TblMagic[[#This Row],[Active DnD]]&gt;5),OFFSET(TblPop[[#This Row],[Draft Growth]],-1,0)*0.375,0),0)</f>
        <v>0</v>
      </c>
      <c r="AP17" s="142"/>
      <c r="AQ17" s="94">
        <f ca="1">TblProd[[#This Row],[Platinum]]</f>
        <v>135499</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45815.541666666635</v>
      </c>
      <c r="AW17" s="94">
        <f ca="1">TblMili[[#This Row],[Draftees]]</f>
        <v>356</v>
      </c>
      <c r="AX17" s="179"/>
      <c r="AY17" s="179"/>
      <c r="AZ17" s="179"/>
      <c r="BA17" s="179"/>
      <c r="BB17" s="179"/>
      <c r="BC17" s="179"/>
      <c r="BD17" s="179"/>
      <c r="BE17" s="179"/>
      <c r="BF17" s="179"/>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Demonic Pact]]&gt;0,MIN(TblMili[[#This Row],[Unit 1]],TblMili[[#This Row],[Unit 4]])*demonic_pact_oppair,0)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0.80000000000000071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x14ac:dyDescent="0.2">
      <c r="A18" s="137">
        <f>TblRezone[[#This Row],[Hour]]</f>
        <v>15</v>
      </c>
      <c r="B18" s="246">
        <f ca="1">SUM(TblMili[[#This Row],[Unit 1]:[Archmages]])+SUM(OFFSET(TblMili[[#This Row],[Train Unit 1]],-8,0):TblMili[[#This Row],[Train Unit 2]]) + SUM(OFFSET(TblMili[[#This Row],[Train Unit 3]],-11,0):TblMili[[#This Row],[Train AM]]) + TblMili[[#This Row],[Draftees]]</f>
        <v>360</v>
      </c>
      <c r="C18" s="157">
        <f ca="1">TblPop[[#This Row],[Military%]]</f>
        <v>0.46814044213263978</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360</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360</v>
      </c>
      <c r="X18" s="247">
        <f ca="1">TblConstr[[#This Row],[Land]]</f>
        <v>50</v>
      </c>
      <c r="Y18" s="250"/>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18" s="154"/>
      <c r="AC18" s="180">
        <f ca="1">(TblConstr[[#This Row],[Tot Smi]]+TblConstr[[#This Row],[Dest Smi]])/(TblConstr[[#This Row],[Land]]-TblExplore[[#This Row],[Land Bonus]]*20)</f>
        <v>0</v>
      </c>
      <c r="AD18" s="137"/>
      <c r="AE18" s="246">
        <f>TblMili[[#This Row],[Hour]]</f>
        <v>15</v>
      </c>
      <c r="AF18" s="138">
        <f ca="1">TblExplore[[#This Row],[Time]]</f>
        <v>45815.583333333299</v>
      </c>
      <c r="AG18" s="179"/>
      <c r="AH18" s="179"/>
      <c r="AI18" s="179"/>
      <c r="AJ18" s="179"/>
      <c r="AK18" s="179"/>
      <c r="AL18" s="179"/>
      <c r="AM18" s="179"/>
      <c r="AN18" s="179"/>
      <c r="AO18" s="420">
        <f ca="1">ROUND(IF(AND(TblMagic[[#This Row],[Active DnD]]&lt;12,TblMagic[[#This Row],[Active DnD]]&gt;5),OFFSET(TblPop[[#This Row],[Draft Growth]],-1,0)*0.375,0),0)</f>
        <v>0</v>
      </c>
      <c r="AP18" s="142"/>
      <c r="AQ18" s="94">
        <f ca="1">TblProd[[#This Row],[Platinum]]</f>
        <v>136614</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45815.583333333299</v>
      </c>
      <c r="AW18" s="94">
        <f ca="1">TblMili[[#This Row],[Draftees]]</f>
        <v>360</v>
      </c>
      <c r="AX18" s="179"/>
      <c r="AY18" s="179"/>
      <c r="AZ18" s="179"/>
      <c r="BA18" s="179"/>
      <c r="BB18" s="179"/>
      <c r="BC18" s="179"/>
      <c r="BD18" s="179"/>
      <c r="BE18" s="179"/>
      <c r="BF18" s="179"/>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Demonic Pact]]&gt;0,MIN(TblMili[[#This Row],[Unit 1]],TblMili[[#This Row],[Unit 4]])*demonic_pact_oppair,0)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0.80000000000000071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x14ac:dyDescent="0.2">
      <c r="A19" s="137">
        <f>TblRezone[[#This Row],[Hour]]</f>
        <v>16</v>
      </c>
      <c r="B19" s="246">
        <f ca="1">SUM(TblMili[[#This Row],[Unit 1]:[Archmages]])+SUM(OFFSET(TblMili[[#This Row],[Train Unit 1]],-8,0):TblMili[[#This Row],[Train Unit 2]]) + SUM(OFFSET(TblMili[[#This Row],[Train Unit 3]],-11,0):TblMili[[#This Row],[Train AM]]) + TblMili[[#This Row],[Draftees]]</f>
        <v>364</v>
      </c>
      <c r="C19" s="157">
        <f ca="1">TblPop[[#This Row],[Military%]]</f>
        <v>0.47334200260078024</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364</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364</v>
      </c>
      <c r="X19" s="247">
        <f ca="1">TblConstr[[#This Row],[Land]]</f>
        <v>50</v>
      </c>
      <c r="Y19" s="250"/>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364</v>
      </c>
      <c r="AB19" s="154"/>
      <c r="AC19" s="180">
        <f ca="1">(TblConstr[[#This Row],[Tot Smi]]+TblConstr[[#This Row],[Dest Smi]])/(TblConstr[[#This Row],[Land]]-TblExplore[[#This Row],[Land Bonus]]*20)</f>
        <v>0</v>
      </c>
      <c r="AD19" s="137"/>
      <c r="AE19" s="246">
        <f>TblMili[[#This Row],[Hour]]</f>
        <v>16</v>
      </c>
      <c r="AF19" s="138">
        <f ca="1">TblExplore[[#This Row],[Time]]</f>
        <v>45815.624999999964</v>
      </c>
      <c r="AG19" s="179"/>
      <c r="AH19" s="179"/>
      <c r="AI19" s="179"/>
      <c r="AJ19" s="179"/>
      <c r="AK19" s="179"/>
      <c r="AL19" s="179"/>
      <c r="AM19" s="179"/>
      <c r="AN19" s="179"/>
      <c r="AO19" s="420">
        <f ca="1">ROUND(IF(AND(TblMagic[[#This Row],[Active DnD]]&lt;12,TblMagic[[#This Row],[Active DnD]]&gt;5),OFFSET(TblPop[[#This Row],[Draft Growth]],-1,0)*0.375,0),0)</f>
        <v>0</v>
      </c>
      <c r="AP19" s="142"/>
      <c r="AQ19" s="94">
        <f ca="1">TblProd[[#This Row],[Platinum]]</f>
        <v>137718</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45815.624999999964</v>
      </c>
      <c r="AW19" s="94">
        <f ca="1">TblMili[[#This Row],[Draftees]]</f>
        <v>364</v>
      </c>
      <c r="AX19" s="179"/>
      <c r="AY19" s="179"/>
      <c r="AZ19" s="179"/>
      <c r="BA19" s="179"/>
      <c r="BB19" s="179"/>
      <c r="BC19" s="179"/>
      <c r="BD19" s="179"/>
      <c r="BE19" s="179"/>
      <c r="BF19" s="179"/>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Demonic Pact]]&gt;0,MIN(TblMili[[#This Row],[Unit 1]],TblMili[[#This Row],[Unit 4]])*demonic_pact_oppair,0)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0.80000000000000071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x14ac:dyDescent="0.2">
      <c r="A20" s="137">
        <f>TblRezone[[#This Row],[Hour]]</f>
        <v>17</v>
      </c>
      <c r="B20" s="246">
        <f ca="1">SUM(TblMili[[#This Row],[Unit 1]:[Archmages]])+SUM(OFFSET(TblMili[[#This Row],[Train Unit 1]],-8,0):TblMili[[#This Row],[Train Unit 2]]) + SUM(OFFSET(TblMili[[#This Row],[Train Unit 3]],-11,0):TblMili[[#This Row],[Train AM]]) + TblMili[[#This Row],[Draftees]]</f>
        <v>368</v>
      </c>
      <c r="C20" s="157">
        <f ca="1">TblPop[[#This Row],[Military%]]</f>
        <v>0.47854356306892065</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368</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368</v>
      </c>
      <c r="X20" s="247">
        <f ca="1">TblConstr[[#This Row],[Land]]</f>
        <v>50</v>
      </c>
      <c r="Y20" s="250"/>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368</v>
      </c>
      <c r="AB20" s="154"/>
      <c r="AC20" s="180">
        <f ca="1">(TblConstr[[#This Row],[Tot Smi]]+TblConstr[[#This Row],[Dest Smi]])/(TblConstr[[#This Row],[Land]]-TblExplore[[#This Row],[Land Bonus]]*20)</f>
        <v>0</v>
      </c>
      <c r="AD20" s="137"/>
      <c r="AE20" s="246">
        <f>TblMili[[#This Row],[Hour]]</f>
        <v>17</v>
      </c>
      <c r="AF20" s="138">
        <f ca="1">TblExplore[[#This Row],[Time]]</f>
        <v>45815.666666666628</v>
      </c>
      <c r="AG20" s="179"/>
      <c r="AH20" s="179"/>
      <c r="AI20" s="179"/>
      <c r="AJ20" s="179"/>
      <c r="AK20" s="179"/>
      <c r="AL20" s="179"/>
      <c r="AM20" s="179"/>
      <c r="AN20" s="179"/>
      <c r="AO20" s="420">
        <f ca="1">ROUND(IF(AND(TblMagic[[#This Row],[Active DnD]]&lt;12,TblMagic[[#This Row],[Active DnD]]&gt;5),OFFSET(TblPop[[#This Row],[Draft Growth]],-1,0)*0.375,0),0)</f>
        <v>0</v>
      </c>
      <c r="AP20" s="142"/>
      <c r="AQ20" s="94">
        <f ca="1">TblProd[[#This Row],[Platinum]]</f>
        <v>138811</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45815.666666666628</v>
      </c>
      <c r="AW20" s="94">
        <f ca="1">TblMili[[#This Row],[Draftees]]</f>
        <v>368</v>
      </c>
      <c r="AX20" s="179"/>
      <c r="AY20" s="179"/>
      <c r="AZ20" s="179"/>
      <c r="BA20" s="179"/>
      <c r="BB20" s="179"/>
      <c r="BC20" s="179"/>
      <c r="BD20" s="179"/>
      <c r="BE20" s="179"/>
      <c r="BF20" s="179"/>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Demonic Pact]]&gt;0,MIN(TblMili[[#This Row],[Unit 1]],TblMili[[#This Row],[Unit 4]])*demonic_pact_oppair,0)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0.80000000000000071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x14ac:dyDescent="0.2">
      <c r="A21" s="137">
        <f>TblRezone[[#This Row],[Hour]]</f>
        <v>18</v>
      </c>
      <c r="B21" s="246">
        <f ca="1">SUM(TblMili[[#This Row],[Unit 1]:[Archmages]])+SUM(OFFSET(TblMili[[#This Row],[Train Unit 1]],-8,0):TblMili[[#This Row],[Train Unit 2]]) + SUM(OFFSET(TblMili[[#This Row],[Train Unit 3]],-11,0):TblMili[[#This Row],[Train AM]]) + TblMili[[#This Row],[Draftees]]</f>
        <v>372</v>
      </c>
      <c r="C21" s="157">
        <f ca="1">TblPop[[#This Row],[Military%]]</f>
        <v>0.48374512353706112</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372</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372</v>
      </c>
      <c r="X21" s="247">
        <f ca="1">TblConstr[[#This Row],[Land]]</f>
        <v>50</v>
      </c>
      <c r="Y21" s="250"/>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372</v>
      </c>
      <c r="AB21" s="154"/>
      <c r="AC21" s="180">
        <f ca="1">(TblConstr[[#This Row],[Tot Smi]]+TblConstr[[#This Row],[Dest Smi]])/(TblConstr[[#This Row],[Land]]-TblExplore[[#This Row],[Land Bonus]]*20)</f>
        <v>0</v>
      </c>
      <c r="AD21" s="137"/>
      <c r="AE21" s="246">
        <f>TblMili[[#This Row],[Hour]]</f>
        <v>18</v>
      </c>
      <c r="AF21" s="138">
        <f ca="1">TblExplore[[#This Row],[Time]]</f>
        <v>45815.708333333292</v>
      </c>
      <c r="AG21" s="179"/>
      <c r="AH21" s="179"/>
      <c r="AI21" s="179"/>
      <c r="AJ21" s="179"/>
      <c r="AK21" s="179"/>
      <c r="AL21" s="179"/>
      <c r="AM21" s="179"/>
      <c r="AN21" s="179"/>
      <c r="AO21" s="420">
        <f ca="1">ROUND(IF(AND(TblMagic[[#This Row],[Active DnD]]&lt;12,TblMagic[[#This Row],[Active DnD]]&gt;5),OFFSET(TblPop[[#This Row],[Draft Growth]],-1,0)*0.375,0),0)</f>
        <v>0</v>
      </c>
      <c r="AP21" s="142"/>
      <c r="AQ21" s="94">
        <f ca="1">TblProd[[#This Row],[Platinum]]</f>
        <v>139893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45815.708333333292</v>
      </c>
      <c r="AW21" s="94">
        <f ca="1">TblMili[[#This Row],[Draftees]]</f>
        <v>372</v>
      </c>
      <c r="AX21" s="179"/>
      <c r="AY21" s="179"/>
      <c r="AZ21" s="179"/>
      <c r="BA21" s="179"/>
      <c r="BB21" s="179"/>
      <c r="BC21" s="179"/>
      <c r="BD21" s="179"/>
      <c r="BE21" s="179"/>
      <c r="BF21" s="179"/>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Demonic Pact]]&gt;0,MIN(TblMili[[#This Row],[Unit 1]],TblMili[[#This Row],[Unit 4]])*demonic_pact_oppair,0)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0.80000000000000071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x14ac:dyDescent="0.2">
      <c r="A22" s="137">
        <f>TblRezone[[#This Row],[Hour]]</f>
        <v>19</v>
      </c>
      <c r="B22" s="246">
        <f ca="1">SUM(TblMili[[#This Row],[Unit 1]:[Archmages]])+SUM(OFFSET(TblMili[[#This Row],[Train Unit 1]],-8,0):TblMili[[#This Row],[Train Unit 2]]) + SUM(OFFSET(TblMili[[#This Row],[Train Unit 3]],-11,0):TblMili[[#This Row],[Train AM]]) + TblMili[[#This Row],[Draftees]]</f>
        <v>376</v>
      </c>
      <c r="C22" s="157">
        <f ca="1">TblPop[[#This Row],[Military%]]</f>
        <v>0.48894668400520158</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376</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376</v>
      </c>
      <c r="X22" s="247">
        <f ca="1">TblConstr[[#This Row],[Land]]</f>
        <v>50</v>
      </c>
      <c r="Y22" s="250"/>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376</v>
      </c>
      <c r="AB22" s="154"/>
      <c r="AC22" s="180">
        <f ca="1">(TblConstr[[#This Row],[Tot Smi]]+TblConstr[[#This Row],[Dest Smi]])/(TblConstr[[#This Row],[Land]]-TblExplore[[#This Row],[Land Bonus]]*20)</f>
        <v>0</v>
      </c>
      <c r="AD22" s="137"/>
      <c r="AE22" s="246">
        <f>TblMili[[#This Row],[Hour]]</f>
        <v>19</v>
      </c>
      <c r="AF22" s="138">
        <f ca="1">TblExplore[[#This Row],[Time]]</f>
        <v>45815.749999999956</v>
      </c>
      <c r="AG22" s="179"/>
      <c r="AH22" s="179"/>
      <c r="AI22" s="179"/>
      <c r="AJ22" s="179"/>
      <c r="AK22" s="179"/>
      <c r="AL22" s="179"/>
      <c r="AM22" s="179"/>
      <c r="AN22" s="179"/>
      <c r="AO22" s="420">
        <f ca="1">ROUND(IF(AND(TblMagic[[#This Row],[Active DnD]]&lt;12,TblMagic[[#This Row],[Active DnD]]&gt;5),OFFSET(TblPop[[#This Row],[Draft Growth]],-1,0)*0.375,0),0)</f>
        <v>0</v>
      </c>
      <c r="AP22" s="142"/>
      <c r="AQ22" s="94">
        <f ca="1">TblProd[[#This Row],[Platinum]]</f>
        <v>140964</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45815.749999999956</v>
      </c>
      <c r="AW22" s="94">
        <f ca="1">TblMili[[#This Row],[Draftees]]</f>
        <v>376</v>
      </c>
      <c r="AX22" s="179"/>
      <c r="AY22" s="179"/>
      <c r="AZ22" s="179"/>
      <c r="BA22" s="179"/>
      <c r="BB22" s="179"/>
      <c r="BC22" s="179"/>
      <c r="BD22" s="179"/>
      <c r="BE22" s="179"/>
      <c r="BF22" s="179"/>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Demonic Pact]]&gt;0,MIN(TblMili[[#This Row],[Unit 1]],TblMili[[#This Row],[Unit 4]])*demonic_pact_oppair,0)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0.80000000000000071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x14ac:dyDescent="0.2">
      <c r="A23" s="137">
        <f>TblRezone[[#This Row],[Hour]]</f>
        <v>20</v>
      </c>
      <c r="B23" s="246">
        <f ca="1">SUM(TblMili[[#This Row],[Unit 1]:[Archmages]])+SUM(OFFSET(TblMili[[#This Row],[Train Unit 1]],-8,0):TblMili[[#This Row],[Train Unit 2]]) + SUM(OFFSET(TblMili[[#This Row],[Train Unit 3]],-11,0):TblMili[[#This Row],[Train AM]]) + TblMili[[#This Row],[Draftees]]</f>
        <v>380</v>
      </c>
      <c r="C23" s="157">
        <f ca="1">TblPop[[#This Row],[Military%]]</f>
        <v>0.49414824447334199</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380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380</v>
      </c>
      <c r="X23" s="247">
        <f ca="1">TblConstr[[#This Row],[Land]]</f>
        <v>50</v>
      </c>
      <c r="Y23" s="250"/>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380</v>
      </c>
      <c r="AB23" s="154"/>
      <c r="AC23" s="180">
        <f ca="1">(TblConstr[[#This Row],[Tot Smi]]+TblConstr[[#This Row],[Dest Smi]])/(TblConstr[[#This Row],[Land]]-TblExplore[[#This Row],[Land Bonus]]*20)</f>
        <v>0</v>
      </c>
      <c r="AD23" s="137"/>
      <c r="AE23" s="246">
        <f>TblMili[[#This Row],[Hour]]</f>
        <v>20</v>
      </c>
      <c r="AF23" s="138">
        <f ca="1">TblExplore[[#This Row],[Time]]</f>
        <v>45815.791666666621</v>
      </c>
      <c r="AG23" s="179"/>
      <c r="AH23" s="179"/>
      <c r="AI23" s="179"/>
      <c r="AJ23" s="179"/>
      <c r="AK23" s="179"/>
      <c r="AL23" s="179"/>
      <c r="AM23" s="179"/>
      <c r="AN23" s="179"/>
      <c r="AO23" s="420">
        <f ca="1">ROUND(IF(AND(TblMagic[[#This Row],[Active DnD]]&lt;12,TblMagic[[#This Row],[Active DnD]]&gt;5),OFFSET(TblPop[[#This Row],[Draft Growth]],-1,0)*0.375,0),0)</f>
        <v>0</v>
      </c>
      <c r="AP23" s="142"/>
      <c r="AQ23" s="94">
        <f ca="1">TblProd[[#This Row],[Platinum]]</f>
        <v>142025</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45815.791666666621</v>
      </c>
      <c r="AW23" s="94">
        <f ca="1">TblMili[[#This Row],[Draftees]]</f>
        <v>380</v>
      </c>
      <c r="AX23" s="179"/>
      <c r="AY23" s="179"/>
      <c r="AZ23" s="179"/>
      <c r="BA23" s="179"/>
      <c r="BB23" s="179"/>
      <c r="BC23" s="179"/>
      <c r="BD23" s="179"/>
      <c r="BE23" s="179"/>
      <c r="BF23" s="179"/>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Demonic Pact]]&gt;0,MIN(TblMili[[#This Row],[Unit 1]],TblMili[[#This Row],[Unit 4]])*demonic_pact_oppair,0)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0.80000000000000071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x14ac:dyDescent="0.2">
      <c r="A24" s="137">
        <f>TblRezone[[#This Row],[Hour]]</f>
        <v>21</v>
      </c>
      <c r="B24" s="246">
        <f ca="1">SUM(TblMili[[#This Row],[Unit 1]:[Archmages]])+SUM(OFFSET(TblMili[[#This Row],[Train Unit 1]],-8,0):TblMili[[#This Row],[Train Unit 2]]) + SUM(OFFSET(TblMili[[#This Row],[Train Unit 3]],-11,0):TblMili[[#This Row],[Train AM]]) + TblMili[[#This Row],[Draftees]]</f>
        <v>384</v>
      </c>
      <c r="C24" s="157">
        <f ca="1">TblPop[[#This Row],[Military%]]</f>
        <v>0.49934980494148246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384</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384</v>
      </c>
      <c r="X24" s="247">
        <f ca="1">TblConstr[[#This Row],[Land]]</f>
        <v>50</v>
      </c>
      <c r="Y24" s="250"/>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24" s="154"/>
      <c r="AC24" s="180">
        <f ca="1">(TblConstr[[#This Row],[Tot Smi]]+TblConstr[[#This Row],[Dest Smi]])/(TblConstr[[#This Row],[Land]]-TblExplore[[#This Row],[Land Bonus]]*20)</f>
        <v>0</v>
      </c>
      <c r="AD24" s="137"/>
      <c r="AE24" s="246">
        <f>TblMili[[#This Row],[Hour]]</f>
        <v>21</v>
      </c>
      <c r="AF24" s="138">
        <f ca="1">TblExplore[[#This Row],[Time]]</f>
        <v>45815.833333333285</v>
      </c>
      <c r="AG24" s="179"/>
      <c r="AH24" s="179"/>
      <c r="AI24" s="179"/>
      <c r="AJ24" s="179"/>
      <c r="AK24" s="179"/>
      <c r="AL24" s="179"/>
      <c r="AM24" s="179"/>
      <c r="AN24" s="179"/>
      <c r="AO24" s="420">
        <f ca="1">ROUND(IF(AND(TblMagic[[#This Row],[Active DnD]]&lt;12,TblMagic[[#This Row],[Active DnD]]&gt;5),OFFSET(TblPop[[#This Row],[Draft Growth]],-1,0)*0.375,0),0)</f>
        <v>0</v>
      </c>
      <c r="AP24" s="142"/>
      <c r="AQ24" s="94">
        <f ca="1">TblProd[[#This Row],[Platinum]]</f>
        <v>143075</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45815.833333333285</v>
      </c>
      <c r="AW24" s="94">
        <f ca="1">TblMili[[#This Row],[Draftees]]</f>
        <v>384</v>
      </c>
      <c r="AX24" s="179"/>
      <c r="AY24" s="179"/>
      <c r="AZ24" s="179"/>
      <c r="BA24" s="179"/>
      <c r="BB24" s="179"/>
      <c r="BC24" s="179"/>
      <c r="BD24" s="179"/>
      <c r="BE24" s="179"/>
      <c r="BF24" s="179"/>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Demonic Pact]]&gt;0,MIN(TblMili[[#This Row],[Unit 1]],TblMili[[#This Row],[Unit 4]])*demonic_pact_oppair,0)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0.80000000000000071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x14ac:dyDescent="0.2">
      <c r="A25" s="137">
        <f>TblRezone[[#This Row],[Hour]]</f>
        <v>22</v>
      </c>
      <c r="B25" s="246">
        <f ca="1">SUM(TblMili[[#This Row],[Unit 1]:[Archmages]])+SUM(OFFSET(TblMili[[#This Row],[Train Unit 1]],-8,0):TblMili[[#This Row],[Train Unit 2]]) + SUM(OFFSET(TblMili[[#This Row],[Train Unit 3]],-11,0):TblMili[[#This Row],[Train AM]]) + TblMili[[#This Row],[Draftees]]</f>
        <v>388</v>
      </c>
      <c r="C25" s="157">
        <f ca="1">TblPop[[#This Row],[Military%]]</f>
        <v>0.50455136540962287</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388</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388</v>
      </c>
      <c r="X25" s="247">
        <f ca="1">TblConstr[[#This Row],[Land]]</f>
        <v>50</v>
      </c>
      <c r="Y25" s="250"/>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388</v>
      </c>
      <c r="AB25" s="154"/>
      <c r="AC25" s="180">
        <f ca="1">(TblConstr[[#This Row],[Tot Smi]]+TblConstr[[#This Row],[Dest Smi]])/(TblConstr[[#This Row],[Land]]-TblExplore[[#This Row],[Land Bonus]]*20)</f>
        <v>0</v>
      </c>
      <c r="AD25" s="137"/>
      <c r="AE25" s="246">
        <f>TblMili[[#This Row],[Hour]]</f>
        <v>22</v>
      </c>
      <c r="AF25" s="138">
        <f ca="1">TblExplore[[#This Row],[Time]]</f>
        <v>45815.874999999949</v>
      </c>
      <c r="AG25" s="179"/>
      <c r="AH25" s="179"/>
      <c r="AI25" s="179"/>
      <c r="AJ25" s="179"/>
      <c r="AK25" s="179"/>
      <c r="AL25" s="179"/>
      <c r="AM25" s="179"/>
      <c r="AN25" s="179"/>
      <c r="AO25" s="420">
        <f ca="1">ROUND(IF(AND(TblMagic[[#This Row],[Active DnD]]&lt;12,TblMagic[[#This Row],[Active DnD]]&gt;5),OFFSET(TblPop[[#This Row],[Draft Growth]],-1,0)*0.375,0),0)</f>
        <v>0</v>
      </c>
      <c r="AP25" s="142"/>
      <c r="AQ25" s="94">
        <f ca="1">TblProd[[#This Row],[Platinum]]</f>
        <v>144114</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45815.874999999949</v>
      </c>
      <c r="AW25" s="94">
        <f ca="1">TblMili[[#This Row],[Draftees]]</f>
        <v>388</v>
      </c>
      <c r="AX25" s="179"/>
      <c r="AY25" s="179"/>
      <c r="AZ25" s="179"/>
      <c r="BA25" s="179"/>
      <c r="BB25" s="179"/>
      <c r="BC25" s="179"/>
      <c r="BD25" s="179"/>
      <c r="BE25" s="179"/>
      <c r="BF25" s="179"/>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Demonic Pact]]&gt;0,MIN(TblMili[[#This Row],[Unit 1]],TblMili[[#This Row],[Unit 4]])*demonic_pact_oppair,0)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0.80000000000000071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x14ac:dyDescent="0.2">
      <c r="A26" s="137">
        <f>TblRezone[[#This Row],[Hour]]</f>
        <v>23</v>
      </c>
      <c r="B26" s="246">
        <f ca="1">SUM(TblMili[[#This Row],[Unit 1]:[Archmages]])+SUM(OFFSET(TblMili[[#This Row],[Train Unit 1]],-8,0):TblMili[[#This Row],[Train Unit 2]]) + SUM(OFFSET(TblMili[[#This Row],[Train Unit 3]],-11,0):TblMili[[#This Row],[Train AM]]) + TblMili[[#This Row],[Draftees]]</f>
        <v>392</v>
      </c>
      <c r="C26" s="157">
        <f ca="1">TblPop[[#This Row],[Military%]]</f>
        <v>0.50975292587776333</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392</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392</v>
      </c>
      <c r="X26" s="247">
        <f ca="1">TblConstr[[#This Row],[Land]]</f>
        <v>50</v>
      </c>
      <c r="Y26" s="250"/>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392</v>
      </c>
      <c r="AB26" s="154"/>
      <c r="AC26" s="180">
        <f ca="1">(TblConstr[[#This Row],[Tot Smi]]+TblConstr[[#This Row],[Dest Smi]])/(TblConstr[[#This Row],[Land]]-TblExplore[[#This Row],[Land Bonus]]*20)</f>
        <v>0</v>
      </c>
      <c r="AD26" s="137"/>
      <c r="AE26" s="246">
        <f>TblMili[[#This Row],[Hour]]</f>
        <v>23</v>
      </c>
      <c r="AF26" s="138">
        <f ca="1">TblExplore[[#This Row],[Time]]</f>
        <v>45815.916666666613</v>
      </c>
      <c r="AG26" s="179"/>
      <c r="AH26" s="179"/>
      <c r="AI26" s="179"/>
      <c r="AJ26" s="179"/>
      <c r="AK26" s="179"/>
      <c r="AL26" s="179"/>
      <c r="AM26" s="179"/>
      <c r="AN26" s="179"/>
      <c r="AO26" s="420">
        <f ca="1">ROUND(IF(AND(TblMagic[[#This Row],[Active DnD]]&lt;12,TblMagic[[#This Row],[Active DnD]]&gt;5),OFFSET(TblPop[[#This Row],[Draft Growth]],-1,0)*0.375,0),0)</f>
        <v>0</v>
      </c>
      <c r="AP26" s="142"/>
      <c r="AQ26" s="94">
        <f ca="1">TblProd[[#This Row],[Platinum]]</f>
        <v>145142</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45815.916666666613</v>
      </c>
      <c r="AW26" s="94">
        <f ca="1">TblMili[[#This Row],[Draftees]]</f>
        <v>392</v>
      </c>
      <c r="AX26" s="179"/>
      <c r="AY26" s="179"/>
      <c r="AZ26" s="179"/>
      <c r="BA26" s="179"/>
      <c r="BB26" s="179"/>
      <c r="BC26" s="179"/>
      <c r="BD26" s="179"/>
      <c r="BE26" s="179"/>
      <c r="BF26" s="179"/>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Demonic Pact]]&gt;0,MIN(TblMili[[#This Row],[Unit 1]],TblMili[[#This Row],[Unit 4]])*demonic_pact_oppair,0)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0.80000000000000071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x14ac:dyDescent="0.2">
      <c r="A27" s="137">
        <f>TblRezone[[#This Row],[Hour]]</f>
        <v>24</v>
      </c>
      <c r="B27" s="246">
        <f ca="1">SUM(TblMili[[#This Row],[Unit 1]:[Archmages]])+SUM(OFFSET(TblMili[[#This Row],[Train Unit 1]],-8,0):TblMili[[#This Row],[Train Unit 2]]) + SUM(OFFSET(TblMili[[#This Row],[Train Unit 3]],-11,0):TblMili[[#This Row],[Train AM]]) + TblMili[[#This Row],[Draftees]]</f>
        <v>396</v>
      </c>
      <c r="C27" s="157">
        <f ca="1">TblPop[[#This Row],[Military%]]</f>
        <v>0.51495448634590379</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396</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396</v>
      </c>
      <c r="X27" s="247">
        <f ca="1">TblConstr[[#This Row],[Land]]</f>
        <v>50</v>
      </c>
      <c r="Y27" s="250"/>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396</v>
      </c>
      <c r="AB27" s="154"/>
      <c r="AC27" s="180">
        <f ca="1">(TblConstr[[#This Row],[Tot Smi]]+TblConstr[[#This Row],[Dest Smi]])/(TblConstr[[#This Row],[Land]]-TblExplore[[#This Row],[Land Bonus]]*20)</f>
        <v>0</v>
      </c>
      <c r="AD27" s="137"/>
      <c r="AE27" s="246">
        <f>TblMili[[#This Row],[Hour]]</f>
        <v>24</v>
      </c>
      <c r="AF27" s="138">
        <f ca="1">TblExplore[[#This Row],[Time]]</f>
        <v>45815.958333333278</v>
      </c>
      <c r="AG27" s="179"/>
      <c r="AH27" s="179"/>
      <c r="AI27" s="179"/>
      <c r="AJ27" s="179"/>
      <c r="AK27" s="179"/>
      <c r="AL27" s="179"/>
      <c r="AM27" s="179"/>
      <c r="AN27" s="179"/>
      <c r="AO27" s="420">
        <f ca="1">ROUND(IF(AND(TblMagic[[#This Row],[Active DnD]]&lt;12,TblMagic[[#This Row],[Active DnD]]&gt;5),OFFSET(TblPop[[#This Row],[Draft Growth]],-1,0)*0.375,0),0)</f>
        <v>0</v>
      </c>
      <c r="AP27" s="142"/>
      <c r="AQ27" s="94">
        <f ca="1">TblProd[[#This Row],[Platinum]]</f>
        <v>146159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45815.958333333278</v>
      </c>
      <c r="AW27" s="94">
        <f ca="1">TblMili[[#This Row],[Draftees]]</f>
        <v>396</v>
      </c>
      <c r="AX27" s="179"/>
      <c r="AY27" s="179"/>
      <c r="AZ27" s="179"/>
      <c r="BA27" s="179"/>
      <c r="BB27" s="179"/>
      <c r="BC27" s="179"/>
      <c r="BD27" s="179"/>
      <c r="BE27" s="179"/>
      <c r="BF27" s="179"/>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Demonic Pact]]&gt;0,MIN(TblMili[[#This Row],[Unit 1]],TblMili[[#This Row],[Unit 4]])*demonic_pact_oppair,0)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0.80000000000000071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400</v>
      </c>
      <c r="C28" s="157">
        <f ca="1">TblPop[[#This Row],[Military%]]</f>
        <v>0.52015604681404426</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400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400</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400</v>
      </c>
      <c r="AB28" s="154"/>
      <c r="AC28" s="180">
        <f ca="1">(TblConstr[[#This Row],[Tot Smi]]+TblConstr[[#This Row],[Dest Smi]])/(TblConstr[[#This Row],[Land]]-TblExplore[[#This Row],[Land Bonus]]*20)</f>
        <v>0</v>
      </c>
      <c r="AD28" s="137"/>
      <c r="AE28" s="246">
        <f>TblMili[[#This Row],[Hour]]</f>
        <v>25</v>
      </c>
      <c r="AF28" s="138">
        <f ca="1">TblExplore[[#This Row],[Time]]</f>
        <v>45815.999999999942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147166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45815.999999999942</v>
      </c>
      <c r="AW28" s="94">
        <f ca="1">TblMili[[#This Row],[Draftees]]</f>
        <v>400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Demonic Pact]]&gt;0,MIN(TblMili[[#This Row],[Unit 1]],TblMili[[#This Row],[Unit 4]])*demonic_pact_oppair,0)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0.80000000000000071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404</v>
      </c>
      <c r="C29" s="157">
        <f ca="1">TblPop[[#This Row],[Military%]]</f>
        <v>0.52535760728218461</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404</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404</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404</v>
      </c>
      <c r="AB29" s="154"/>
      <c r="AC29" s="180">
        <f ca="1">(TblConstr[[#This Row],[Tot Smi]]+TblConstr[[#This Row],[Dest Smi]])/(TblConstr[[#This Row],[Land]]-TblExplore[[#This Row],[Land Bonus]]*20)</f>
        <v>0</v>
      </c>
      <c r="AD29" s="137"/>
      <c r="AE29" s="246">
        <f>TblMili[[#This Row],[Hour]]</f>
        <v>26</v>
      </c>
      <c r="AF29" s="138">
        <f ca="1">TblExplore[[#This Row],[Time]]</f>
        <v>45816.041666666606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148162</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45816.041666666606</v>
      </c>
      <c r="AW29" s="94">
        <f ca="1">TblMili[[#This Row],[Draftees]]</f>
        <v>404</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Demonic Pact]]&gt;0,MIN(TblMili[[#This Row],[Unit 1]],TblMili[[#This Row],[Unit 4]])*demonic_pact_oppair,0)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0.80000000000000071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408</v>
      </c>
      <c r="C30" s="157">
        <f ca="1">TblPop[[#This Row],[Military%]]</f>
        <v>0.53055916775032508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408</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408</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408</v>
      </c>
      <c r="AB30" s="154"/>
      <c r="AC30" s="180">
        <f ca="1">(TblConstr[[#This Row],[Tot Smi]]+TblConstr[[#This Row],[Dest Smi]])/(TblConstr[[#This Row],[Land]]-TblExplore[[#This Row],[Land Bonus]]*20)</f>
        <v>0</v>
      </c>
      <c r="AD30" s="137"/>
      <c r="AE30" s="246">
        <f>TblMili[[#This Row],[Hour]]</f>
        <v>27</v>
      </c>
      <c r="AF30" s="138">
        <f ca="1">TblExplore[[#This Row],[Time]]</f>
        <v>45816.08333333327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149147</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45816.08333333327</v>
      </c>
      <c r="AW30" s="94">
        <f ca="1">TblMili[[#This Row],[Draftees]]</f>
        <v>408</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Demonic Pact]]&gt;0,MIN(TblMili[[#This Row],[Unit 1]],TblMili[[#This Row],[Unit 4]])*demonic_pact_oppair,0)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0.80000000000000071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412</v>
      </c>
      <c r="C31" s="157">
        <f ca="1">TblPop[[#This Row],[Military%]]</f>
        <v>0.53576072821846554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412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412</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31" s="154"/>
      <c r="AC31" s="180">
        <f ca="1">(TblConstr[[#This Row],[Tot Smi]]+TblConstr[[#This Row],[Dest Smi]])/(TblConstr[[#This Row],[Land]]-TblExplore[[#This Row],[Land Bonus]]*20)</f>
        <v>0</v>
      </c>
      <c r="AD31" s="137"/>
      <c r="AE31" s="246">
        <f>TblMili[[#This Row],[Hour]]</f>
        <v>28</v>
      </c>
      <c r="AF31" s="138">
        <f ca="1">TblExplore[[#This Row],[Time]]</f>
        <v>45816.124999999935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150121</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45816.124999999935</v>
      </c>
      <c r="AW31" s="94">
        <f ca="1">TblMili[[#This Row],[Draftees]]</f>
        <v>412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Demonic Pact]]&gt;0,MIN(TblMili[[#This Row],[Unit 1]],TblMili[[#This Row],[Unit 4]])*demonic_pact_oppair,0)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0.80000000000000071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416</v>
      </c>
      <c r="C32" s="157">
        <f ca="1">TblPop[[#This Row],[Military%]]</f>
        <v>0.54096228868660601</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416</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416</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416</v>
      </c>
      <c r="AB32" s="154"/>
      <c r="AC32" s="180">
        <f ca="1">(TblConstr[[#This Row],[Tot Smi]]+TblConstr[[#This Row],[Dest Smi]])/(TblConstr[[#This Row],[Land]]-TblExplore[[#This Row],[Land Bonus]]*20)</f>
        <v>0</v>
      </c>
      <c r="AD32" s="137"/>
      <c r="AE32" s="246">
        <f>TblMili[[#This Row],[Hour]]</f>
        <v>29</v>
      </c>
      <c r="AF32" s="138">
        <f ca="1">TblExplore[[#This Row],[Time]]</f>
        <v>45816.166666666599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151084</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45816.166666666599</v>
      </c>
      <c r="AW32" s="94">
        <f ca="1">TblMili[[#This Row],[Draftees]]</f>
        <v>416</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Demonic Pact]]&gt;0,MIN(TblMili[[#This Row],[Unit 1]],TblMili[[#This Row],[Unit 4]])*demonic_pact_oppair,0)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0.80000000000000071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420</v>
      </c>
      <c r="C33" s="157">
        <f ca="1">TblPop[[#This Row],[Military%]]</f>
        <v>0.54616384915474647</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420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420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420</v>
      </c>
      <c r="AB33" s="154"/>
      <c r="AC33" s="180">
        <f ca="1">(TblConstr[[#This Row],[Tot Smi]]+TblConstr[[#This Row],[Dest Smi]])/(TblConstr[[#This Row],[Land]]-TblExplore[[#This Row],[Land Bonus]]*20)</f>
        <v>0</v>
      </c>
      <c r="AD33" s="137"/>
      <c r="AE33" s="246">
        <f>TblMili[[#This Row],[Hour]]</f>
        <v>30</v>
      </c>
      <c r="AF33" s="138">
        <f ca="1">TblExplore[[#This Row],[Time]]</f>
        <v>45816.208333333263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152037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45816.208333333263</v>
      </c>
      <c r="AW33" s="94">
        <f ca="1">TblMili[[#This Row],[Draftees]]</f>
        <v>420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Demonic Pact]]&gt;0,MIN(TblMili[[#This Row],[Unit 1]],TblMili[[#This Row],[Unit 4]])*demonic_pact_oppair,0)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0.80000000000000071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423</v>
      </c>
      <c r="C34" s="157">
        <f ca="1">TblPop[[#This Row],[Military%]]</f>
        <v>0.55006501950585174</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423</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423</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423</v>
      </c>
      <c r="AB34" s="154"/>
      <c r="AC34" s="180">
        <f ca="1">(TblConstr[[#This Row],[Tot Smi]]+TblConstr[[#This Row],[Dest Smi]])/(TblConstr[[#This Row],[Land]]-TblExplore[[#This Row],[Land Bonus]]*20)</f>
        <v>0</v>
      </c>
      <c r="AD34" s="137"/>
      <c r="AE34" s="246">
        <f>TblMili[[#This Row],[Hour]]</f>
        <v>31</v>
      </c>
      <c r="AF34" s="138">
        <f ca="1">TblExplore[[#This Row],[Time]]</f>
        <v>45816.249999999927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152979</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45816.249999999927</v>
      </c>
      <c r="AW34" s="94">
        <f ca="1">TblMili[[#This Row],[Draftees]]</f>
        <v>423</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Demonic Pact]]&gt;0,MIN(TblMili[[#This Row],[Unit 1]],TblMili[[#This Row],[Unit 4]])*demonic_pact_oppair,0)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0.80000000000000071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426</v>
      </c>
      <c r="C35" s="157">
        <f ca="1">TblPop[[#This Row],[Military%]]</f>
        <v>0.55396618985695711</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426</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426</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35" s="154"/>
      <c r="AC35" s="180">
        <f ca="1">(TblConstr[[#This Row],[Tot Smi]]+TblConstr[[#This Row],[Dest Smi]])/(TblConstr[[#This Row],[Land]]-TblExplore[[#This Row],[Land Bonus]]*20)</f>
        <v>0</v>
      </c>
      <c r="AD35" s="137"/>
      <c r="AE35" s="246">
        <f>TblMili[[#This Row],[Hour]]</f>
        <v>32</v>
      </c>
      <c r="AF35" s="138">
        <f ca="1">TblExplore[[#This Row],[Time]]</f>
        <v>45816.291666666591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153913</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45816.291666666591</v>
      </c>
      <c r="AW35" s="94">
        <f ca="1">TblMili[[#This Row],[Draftees]]</f>
        <v>426</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Demonic Pact]]&gt;0,MIN(TblMili[[#This Row],[Unit 1]],TblMili[[#This Row],[Unit 4]])*demonic_pact_oppair,0)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0.80000000000000071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429</v>
      </c>
      <c r="C36" s="157">
        <f ca="1">TblPop[[#This Row],[Military%]]</f>
        <v>0.55786736020806238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429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429</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429</v>
      </c>
      <c r="AB36" s="154"/>
      <c r="AC36" s="180">
        <f ca="1">(TblConstr[[#This Row],[Tot Smi]]+TblConstr[[#This Row],[Dest Smi]])/(TblConstr[[#This Row],[Land]]-TblExplore[[#This Row],[Land Bonus]]*20)</f>
        <v>0</v>
      </c>
      <c r="AD36" s="137"/>
      <c r="AE36" s="246">
        <f>TblMili[[#This Row],[Hour]]</f>
        <v>33</v>
      </c>
      <c r="AF36" s="138">
        <f ca="1">TblExplore[[#This Row],[Time]]</f>
        <v>45816.333333333256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154839</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45816.333333333256</v>
      </c>
      <c r="AW36" s="94">
        <f ca="1">TblMili[[#This Row],[Draftees]]</f>
        <v>429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Demonic Pact]]&gt;0,MIN(TblMili[[#This Row],[Unit 1]],TblMili[[#This Row],[Unit 4]])*demonic_pact_oppair,0)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0.80000000000000071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432</v>
      </c>
      <c r="C37" s="157">
        <f ca="1">TblPop[[#This Row],[Military%]]</f>
        <v>0.56176853055916776</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432</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432</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432</v>
      </c>
      <c r="AB37" s="154"/>
      <c r="AC37" s="180">
        <f ca="1">(TblConstr[[#This Row],[Tot Smi]]+TblConstr[[#This Row],[Dest Smi]])/(TblConstr[[#This Row],[Land]]-TblExplore[[#This Row],[Land Bonus]]*20)</f>
        <v>0</v>
      </c>
      <c r="AD37" s="137"/>
      <c r="AE37" s="246">
        <f>TblMili[[#This Row],[Hour]]</f>
        <v>34</v>
      </c>
      <c r="AF37" s="138">
        <f ca="1">TblExplore[[#This Row],[Time]]</f>
        <v>45816.37499999992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155757</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45816.37499999992</v>
      </c>
      <c r="AW37" s="94">
        <f ca="1">TblMili[[#This Row],[Draftees]]</f>
        <v>432</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Demonic Pact]]&gt;0,MIN(TblMili[[#This Row],[Unit 1]],TblMili[[#This Row],[Unit 4]])*demonic_pact_oppair,0)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0.80000000000000071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435</v>
      </c>
      <c r="C38" s="157">
        <f ca="1">TblPop[[#This Row],[Military%]]</f>
        <v>0.56566970091027313</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435</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435</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435</v>
      </c>
      <c r="AB38" s="154"/>
      <c r="AC38" s="180">
        <f ca="1">(TblConstr[[#This Row],[Tot Smi]]+TblConstr[[#This Row],[Dest Smi]])/(TblConstr[[#This Row],[Land]]-TblExplore[[#This Row],[Land Bonus]]*20)</f>
        <v>0</v>
      </c>
      <c r="AD38" s="137"/>
      <c r="AE38" s="246">
        <f>TblMili[[#This Row],[Hour]]</f>
        <v>35</v>
      </c>
      <c r="AF38" s="138">
        <f ca="1">TblExplore[[#This Row],[Time]]</f>
        <v>45816.416666666584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156666</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45816.416666666584</v>
      </c>
      <c r="AW38" s="94">
        <f ca="1">TblMili[[#This Row],[Draftees]]</f>
        <v>435</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Demonic Pact]]&gt;0,MIN(TblMili[[#This Row],[Unit 1]],TblMili[[#This Row],[Unit 4]])*demonic_pact_oppair,0)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0.80000000000000071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438</v>
      </c>
      <c r="C39" s="157">
        <f ca="1">TblPop[[#This Row],[Military%]]</f>
        <v>0.5695708712613784</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438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438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438</v>
      </c>
      <c r="AB39" s="154"/>
      <c r="AC39" s="180">
        <f ca="1">(TblConstr[[#This Row],[Tot Smi]]+TblConstr[[#This Row],[Dest Smi]])/(TblConstr[[#This Row],[Land]]-TblExplore[[#This Row],[Land Bonus]]*20)</f>
        <v>0</v>
      </c>
      <c r="AD39" s="137"/>
      <c r="AE39" s="246">
        <f>TblMili[[#This Row],[Hour]]</f>
        <v>36</v>
      </c>
      <c r="AF39" s="138">
        <f ca="1">TblExplore[[#This Row],[Time]]</f>
        <v>45816.458333333248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157567</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45816.458333333248</v>
      </c>
      <c r="AW39" s="94">
        <f ca="1">TblMili[[#This Row],[Draftees]]</f>
        <v>438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Demonic Pact]]&gt;0,MIN(TblMili[[#This Row],[Unit 1]],TblMili[[#This Row],[Unit 4]])*demonic_pact_oppair,0)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0.80000000000000071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x14ac:dyDescent="0.2">
      <c r="A40" s="137">
        <f>TblRezone[[#This Row],[Hour]]</f>
        <v>37</v>
      </c>
      <c r="B40" s="246">
        <f ca="1">SUM(TblMili[[#This Row],[Unit 1]:[Archmages]])+SUM(OFFSET(TblMili[[#This Row],[Train Unit 1]],-8,0):TblMili[[#This Row],[Train Unit 2]]) + SUM(OFFSET(TblMili[[#This Row],[Train Unit 3]],-11,0):TblMili[[#This Row],[Train AM]]) + TblMili[[#This Row],[Draftees]]</f>
        <v>441</v>
      </c>
      <c r="C40" s="157">
        <f ca="1">TblPop[[#This Row],[Military%]]</f>
        <v>0.57347204161248377</v>
      </c>
      <c r="D40" s="142"/>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f>
        <v>0</v>
      </c>
      <c r="L40" s="45">
        <f ca="1">OFFSET(TblMili[[#This Row],[Archmages]],-1,0) + OFFSET(TblMili[[#This Row],[Train AM]],-12,0) - TblMili[[#This Row],[Release AM]]</f>
        <v>0</v>
      </c>
      <c r="M40" s="142"/>
      <c r="N40" s="94">
        <f ca="1">TblProd[[#This Row],[Networth]]</f>
        <v>1250</v>
      </c>
      <c r="O40" s="142"/>
      <c r="P4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7">
        <f ca="1">TblMili[[#This Row],[Raw]]*(1+TblMili[[#This Row],[Mods_Off]])</f>
        <v>0</v>
      </c>
      <c r="S4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247">
        <f ca="1">TblMili[[#This Row],[Non Draft]]+TblMili[[#This Row],[Draftees]]</f>
        <v>441</v>
      </c>
      <c r="U40" s="248">
        <f ca="1">race_defense + TblImps[[#This Row],[Walls]] + ROUND( MIN(gt_bonus*TblConstr[[#This Row],[Tot GT]]/TblConstr[[#This Row],[Land]],gt_bonus_cap), 4) + IF(TblMagic[[#This Row],[Active Howling]]&gt;0,howling_dp_bonus,IF(TblMagic[[#This Row],[Active Ares Call]]&gt;0,ares_call_bonus))</f>
        <v>0</v>
      </c>
      <c r="V40" s="249">
        <f ca="1">TblMili[[#This Row],[Non Draft]] * (1 + TblMili[[#This Row],[Mods_Def]])</f>
        <v>0</v>
      </c>
      <c r="W40" s="247">
        <f ca="1">TblMili[[#This Row],[Draft]] * (1 + TblMili[[#This Row],[Mods_Def]])</f>
        <v>441</v>
      </c>
      <c r="X40" s="247">
        <f ca="1">TblConstr[[#This Row],[Land]]</f>
        <v>50</v>
      </c>
      <c r="Y40" s="250"/>
      <c r="Z40" s="255">
        <f ca="1">IF(TblMili[[#This Row],[Set]]&lt;&gt;"",TblMili[[#This Row],[Set]],OFFSET(TblMili[[#This Row],[Draftrate]],-1,0))</f>
        <v>0.9</v>
      </c>
      <c r="AA40" s="94">
        <f ca="1">OFFSET(TblMili[[#This Row],[Draftees]],-1,0)+OFFSET(TblPop[[#This Row],[Draft Growth]],-1,0) - SUM(TblMili[[#This Row],[Train Unit 1]:[Train Spies]],TblMili[[#This Row],[Train Wiz]],TblMili[[#This Row],[DnD_Zombies]]) - TblMili[[#This Row],[Release Draft]] + SUM(TblMili[[#This Row],[Release Unit 1]:[Release AM]]) - TblExplore[[#This Row],[Draftees (2)]]</f>
        <v>441</v>
      </c>
      <c r="AB40" s="154"/>
      <c r="AC40" s="180">
        <f ca="1">(TblConstr[[#This Row],[Tot Smi]]+TblConstr[[#This Row],[Dest Smi]])/(TblConstr[[#This Row],[Land]]-TblExplore[[#This Row],[Land Bonus]]*20)</f>
        <v>0</v>
      </c>
      <c r="AD40" s="137"/>
      <c r="AE40" s="246">
        <f>TblMili[[#This Row],[Hour]]</f>
        <v>37</v>
      </c>
      <c r="AF40" s="138">
        <f ca="1">TblExplore[[#This Row],[Time]]</f>
        <v>45816.499999999913</v>
      </c>
      <c r="AG40" s="179"/>
      <c r="AH40" s="179"/>
      <c r="AI40" s="179"/>
      <c r="AJ40" s="179"/>
      <c r="AK40" s="179"/>
      <c r="AL40" s="179"/>
      <c r="AM40" s="179"/>
      <c r="AN40" s="179"/>
      <c r="AO40" s="420">
        <f ca="1">ROUND(IF(AND(TblMagic[[#This Row],[Active DnD]]&lt;12,TblMagic[[#This Row],[Active DnD]]&gt;5),OFFSET(TblPop[[#This Row],[Draft Growth]],-1,0)*0.375,0),0)</f>
        <v>0</v>
      </c>
      <c r="AP40" s="142"/>
      <c r="AQ40" s="94">
        <f ca="1">TblProd[[#This Row],[Platinum]]</f>
        <v>158460</v>
      </c>
      <c r="AR40" s="94">
        <f ca="1">INDEX(TblProd[[#Headers],[Lumber]]:TblProd[[#This Row],[Ore]],COUNTA(TblProd[[#Headers],[Lumber]]:TblProd[[#This Row],[Lumber]]),MATCH(Military!$AR$2,TblProd[[#Headers],[Lumber]:[Ore]],0))</f>
        <v>0</v>
      </c>
      <c r="AS4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4">
        <f ca="1">TblMili[[#This Row],[Train Unit 1]]*TblMili[[#This Row],[OP Ore]]+TblMili[[#This Row],[Train Unit 2]]*TblMili[[#This Row],[DP Ore]]+TblMili[[#This Row],[Train Unit 3]]*TblMili[[#This Row],[E1 Ore]]+TblMili[[#This Row],[Train Unit 4]]*TblMili[[#This Row],[E2 Ore]]</f>
        <v>0</v>
      </c>
      <c r="AU40" s="142">
        <f>TblMili[[#This Row],[Hour]]</f>
        <v>37</v>
      </c>
      <c r="AV40" s="152">
        <f ca="1">TblMili[[#This Row],[Time]]</f>
        <v>45816.499999999913</v>
      </c>
      <c r="AW40" s="94">
        <f ca="1">TblMili[[#This Row],[Draftees]]</f>
        <v>441</v>
      </c>
      <c r="AX40" s="179"/>
      <c r="AY40" s="179"/>
      <c r="AZ40" s="179"/>
      <c r="BA40" s="179"/>
      <c r="BB40" s="179"/>
      <c r="BC40" s="179"/>
      <c r="BD40" s="179"/>
      <c r="BE40" s="179"/>
      <c r="BF40" s="179"/>
      <c r="BG40" s="142"/>
      <c r="BH40" s="157">
        <f ca="1">TblConstr[[#This Row],[Tot WG]]/TblConstr[[#This Row],[Land]]</f>
        <v>0</v>
      </c>
      <c r="BI40" s="157">
        <f ca="1">TblConstr[[#This Row],[Tot Hav]]/TblConstr[[#This Row],[Land]]</f>
        <v>0</v>
      </c>
      <c r="BJ40" s="94">
        <f ca="1">ROUNDUP((1-MIN(TblMili[[#This Row],[Smithies]]*smithy_bonus,smithy_bonus_cap) + tech_3_5*TblTech[[#This Row],[3-5]] + tech_5_3*TblTech[[#This Row],[5-3]] + tech_5_5*TblTech[[#This Row],[5-5]])*spec_op_plat,0)</f>
        <v>275</v>
      </c>
      <c r="BK40" s="94">
        <f ca="1">ROUNDUP(IF(race="Gnome",1,(1-MIN(TblMili[[#This Row],[Smithies]]*smithy_bonus,smithy_bonus_cap) + tech_3_5*TblTech[[#This Row],[3-5]] + tech_5_3*TblTech[[#This Row],[5-3]] + tech_5_5*TblTech[[#This Row],[5-5]]))*spec_op_ore,0)</f>
        <v>25</v>
      </c>
      <c r="BL40" s="94">
        <f ca="1">ROUNDUP((1-MIN(TblMili[[#This Row],[Smithies]]*smithy_bonus,smithy_bonus_cap) + tech_3_5*TblTech[[#This Row],[3-5]] + tech_5_3*TblTech[[#This Row],[5-3]] + tech_5_5*TblTech[[#This Row],[5-5]])*spec_dp_plat,0)</f>
        <v>275</v>
      </c>
      <c r="BM40" s="94">
        <f ca="1">ROUNDUP(IF(race="Gnome",1,(1-MIN(TblMili[[#This Row],[Smithies]]*smithy_bonus,smithy_bonus_cap) + tech_3_5*TblTech[[#This Row],[3-5]] + tech_5_3*TblTech[[#This Row],[5-3]] + tech_5_5*TblTech[[#This Row],[5-5]]))*spec_dp_ore,0)</f>
        <v>15</v>
      </c>
      <c r="BN40" s="94">
        <f ca="1">ROUNDUP((1-MIN(TblMili[[#This Row],[Smithies]]*smithy_bonus,smithy_bonus_cap) + tech_3_5*TblTech[[#This Row],[3-5]] + tech_5_3*TblTech[[#This Row],[5-3]] + tech_5_5*TblTech[[#This Row],[5-5]])*elite1_plat,0)</f>
        <v>1040</v>
      </c>
      <c r="BO40" s="94">
        <f ca="1">ROUNDUP(IF(race="Gnome",1,(1-MIN(TblMili[[#This Row],[Smithies]]*smithy_bonus,smithy_bonus_cap) + tech_3_5*TblTech[[#This Row],[3-5]] + tech_5_3*TblTech[[#This Row],[5-3]] + tech_5_5*TblTech[[#This Row],[5-5]]))*elite1_ore,0)</f>
        <v>75</v>
      </c>
      <c r="BP40" s="94">
        <f ca="1">ROUNDUP((1-MIN(TblMili[[#This Row],[Smithies]]*smithy_bonus,smithy_bonus_cap) + tech_3_5*TblTech[[#This Row],[3-5]] + tech_5_3*TblTech[[#This Row],[5-3]] + tech_5_5*TblTech[[#This Row],[5-5]])*elite2_plat,0)</f>
        <v>1280</v>
      </c>
      <c r="BQ40" s="94">
        <f ca="1">ROUNDUP(IF(race="Gnome",1,(1-MIN(TblMili[[#This Row],[Smithies]]*smithy_bonus,smithy_bonus_cap) + tech_3_5*TblTech[[#This Row],[3-5]] + tech_5_3*TblTech[[#This Row],[5-3]] + tech_5_5*TblTech[[#This Row],[5-5]]))*elite2_ore,0)</f>
        <v>100</v>
      </c>
      <c r="BR40" s="94">
        <f ca="1">ROUNDUP((1-MIN(ROUND(fh_spy_cost_red*TblMili[[#This Row],[FH''s]],4),fh_spy_cost_cap)+ tech_1_9*TblTech[[#This Row],[1-9]] + tech_9_1*TblTech[[#This Row],[9-1]])*spy_plat,0)</f>
        <v>500</v>
      </c>
      <c r="BS40" s="94">
        <f ca="1">ROUNDUP((1-MIN(ROUND(fh_spy_cost_red*TblMili[[#This Row],[FH''s]],4),fh_spy_cost_cap)+ tech_1_9*TblTech[[#This Row],[1-9]] + tech_9_1*TblTech[[#This Row],[9-1]])*archspy_plat,0)</f>
        <v>1000</v>
      </c>
      <c r="BT40" s="94">
        <f ca="1">ROUNDUP((1-MIN(ROUND(wg_wiz_cost_bonus*TblMili[[#This Row],[WG''s]],4),wg_wiz_cost_cap) + tech_1_9_2*TblTech[[#This Row],[1-9]] + tech_9_1_2*TblTech[[#This Row],[9-1]])*wizard_plat,0)</f>
        <v>500</v>
      </c>
      <c r="BU40" s="94">
        <f ca="1">ROUNDUP((1-MIN(ROUND(wg_wiz_cost_bonus*TblMili[[#This Row],[WG''s]],4),wg_wiz_cost_cap) + tech_1_9_2*TblTech[[#This Row],[1-9]] + tech_9_1_2*TblTech[[#This Row],[9-1]])*archmage_plat,0)</f>
        <v>1000</v>
      </c>
      <c r="BV40" s="142"/>
      <c r="BW40" s="157">
        <f ca="1">TblConstr[[#This Row],[Homeland]]/TblConstr[[#This Row],[Land]]</f>
        <v>0.6</v>
      </c>
      <c r="BX40" s="157">
        <f ca="1">TblMili[[#This Row],[WG''s]]</f>
        <v>0</v>
      </c>
      <c r="BY40" s="251">
        <f ca="1">IF(mystic_cap="none",TblMili[[#This Row],[Homeland%]]/mystic_bonus,MIN(mystic_cap,TblMili[[#This Row],[Homeland%]]/mystic_bonus))</f>
        <v>2</v>
      </c>
      <c r="BZ40" s="251">
        <f ca="1">IF(druid_op_cap="none",TblMili[[#This Row],[Homeland%]]/druid_op_bonus,MIN(druid_op_cap,TblMili[[#This Row],[Homeland%]]/druid_op_bonus))</f>
        <v>2</v>
      </c>
      <c r="CA40" s="251">
        <f ca="1">IF(druid_dp_cap="none",TblMili[[#This Row],[Homeland%]]/druid_dp_bonus,MIN(druid_dp_cap,TblMili[[#This Row],[Homeland%]]/druid_dp_bonus))</f>
        <v>2</v>
      </c>
      <c r="CB40" s="251">
        <f ca="1">MIN(dryad_cap,TblMili[[#This Row],[Homeland%]]/dryad_bonus)</f>
        <v>2.9999999999999996</v>
      </c>
      <c r="CC40" s="251">
        <f ca="1">MIN(rocka_cap,TblMili[[#This Row],[Homeland%]]/rocka_bonus)</f>
        <v>2</v>
      </c>
      <c r="CD40" s="251">
        <f ca="1">MIN(adept_op_cap,TblMili[[#This Row],[WG]]/adept_op_bonus)</f>
        <v>0</v>
      </c>
      <c r="CE40" s="251">
        <f ca="1">MIN(adept_dp_cap,TblMili[[#This Row],[WG]]/adept_dp_bonus)</f>
        <v>0</v>
      </c>
      <c r="CF40" s="94">
        <f ca="1">MIN(TblMili[[#This Row],[Unit 3]],TblMili[[#This Row],[Unit 2]])*2</f>
        <v>0</v>
      </c>
      <c r="CG40" s="94">
        <f ca="1">MIN(TblMili[[#This Row],[Unit 1]],TblMili[[#This Row],[Unit 4]])*2</f>
        <v>0</v>
      </c>
      <c r="CH40" s="251">
        <f ca="1">MIN(frost_mage_cap,TblMili[[#This Row],[Homeland%]]/frost_mage_bonus)</f>
        <v>2.9999999999999996</v>
      </c>
      <c r="CI40" s="45">
        <f ca="1">MIN(ice_elem_cap,TblMili[[#This Row],[Raw (2)]]*ice_elem_bonus)</f>
        <v>0</v>
      </c>
      <c r="CJ40" s="251">
        <f t="shared" si="2"/>
        <v>0.83333333333333337</v>
      </c>
      <c r="CK40" s="251">
        <f ca="1">MIN(nox_nightshade_cap,TblConstr[[#This Row],[Homeland]]/TblConstr[[#This Row],[Land]]/nox_nightshade_swamp_bonus)</f>
        <v>4</v>
      </c>
      <c r="CL40" s="251">
        <f ca="1">MIN(TblConstr[[#This Row],[Total Swamp]]/TblConstr[[#This Row],[Land]]/abyss_enforce_bonus,abyss_enforcer_cap)</f>
        <v>0</v>
      </c>
      <c r="CM40" s="251">
        <f ca="1">IF(TblMagic[[#This Row],[Active Demonic Pact]]&gt;0,MIN(TblMili[[#This Row],[Unit 1]],TblMili[[#This Row],[Unit 4]])*demonic_pact_oppair,0)</f>
        <v>0</v>
      </c>
      <c r="CN40" s="252"/>
      <c r="CO40" s="252"/>
      <c r="CP40" s="252"/>
      <c r="CQ40" s="251">
        <f ca="1">MIN(6,TblMili[[#This Row],[Mystic]]+Races!$F$19)*1.8 +  IF(TblMili[[#This Row],[Mystic]]+Races!$F$19&gt;6,(TblMili[[#This Row],[Mystic]]+Races!$F$19-6)*0.2,0) - Races!$I$19</f>
        <v>1</v>
      </c>
      <c r="CR4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94">
        <f ca="1">TblMili[[#This Row],[Mystic bonus]]*TblMili[[#This Row],[Unit 3]]+TblMili[[#This Row],[Druid bonus]]*TblMili[[#This Row],[Unit 4]]</f>
        <v>0</v>
      </c>
      <c r="CT40" s="155">
        <f ca="1">MIN(6,TblMili[[#This Row],[Dryad]]+Races!$F$35)*1.8 +  IF(TblMili[[#This Row],[Dryad]]+Races!$F$35&gt;6,(TblMili[[#This Row],[Dryad]]+Races!$F$35-6)*0.2,0) - Races!$I$19</f>
        <v>0.80000000000000071</v>
      </c>
      <c r="CU40" s="94">
        <f ca="1">sylvan*(TblMili[[#This Row],[Mystic bonus]]*TblMili[[#This Row],[Unit 3]])</f>
        <v>0</v>
      </c>
      <c r="CV40" s="155">
        <f ca="1">1.8 * MIN(MAX(Races!$E$27,TblMili[[#This Row],[Rockapult]]+Races!$F$27),6)  +  0.45 * MIN(MIN(Races!$E$27,TblMili[[#This Row],[Rockapult]]+Races!$F$27),6)  +  0.2 * ( MAX(Races!$E$27-6,0) + MAX(TblMili[[#This Row],[Rockapult]]+Races!$F$27-6,0) )  -  Races!$I$20</f>
        <v>3.7000000000000011</v>
      </c>
      <c r="CW40" s="94">
        <f ca="1">gnome*(TblMili[[#This Row],[Rockapult bonus]]*TblMili[[#This Row],[Unit 3]])</f>
        <v>0</v>
      </c>
      <c r="CX4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94">
        <f ca="1">dark_elf*(TblMili[[#This Row],[Adept bonus]]*TblMili[[#This Row],[Unit 3]])</f>
        <v>0</v>
      </c>
      <c r="CZ40" s="155">
        <f ca="1">1.8 * MIN(MAX(TblMili[[#This Row],[Frost Mage]]+Races!$F$71,Races!$E$71),6)  +  0.45 * MIN(MIN(TblMili[[#This Row],[Frost Mage]]+Races!$F$71,Races!$E$71),6)  +  0.2 * ( MAX(TblMili[[#This Row],[Frost Mage]]+Races!$F$71-6,0) + MAX(Races!$E$71-6,0) )  -  Races!$I$71</f>
        <v>6.15</v>
      </c>
      <c r="DA40" s="155">
        <f ca="1">1.8 * MIN(MAX(TblMili[[#This Row],[Ice Elemental]]+Races!$E$71,Races!$F$71),6)  +  0.45 * MIN(MIN(TblMili[[#This Row],[Ice Elemental]]+Races!$E$71,Races!$F$71),6)  +  0.2 * ( MAX(TblMili[[#This Row],[Ice Elemental]]+Races!$E$71-6,0) + MAX(Races!$F$71-6,0) )  -  Races!$I$71</f>
        <v>0.75</v>
      </c>
      <c r="DB40" s="94">
        <f ca="1">TblMili[[#This Row],[Frost Mage bonus]]*TblMili[[#This Row],[Unit 3]]+TblMili[[#This Row],[Ice Elemental bonus]]*TblMili[[#This Row],[Unit 4]]</f>
        <v>0</v>
      </c>
      <c r="DC40" s="253"/>
      <c r="DD40" s="143">
        <f ca="1">MIN(SUM(TblConstr[[#This Row],[Plain]:[Water]])/TblMili[[#This Row],[Land]]/favorable_terrain_bonus/100,favorable_terrain_max)</f>
        <v>0</v>
      </c>
      <c r="DE40" s="253"/>
      <c r="DF4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2"/>
      <c r="DH40" s="254">
        <f ca="1">(TblMili[[#This Row],[Wizards]]+2*TblMili[[#This Row],[Archmages]])/TblConstr[[#This Row],[Land]]</f>
        <v>0</v>
      </c>
      <c r="DI40" s="254">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444</v>
      </c>
      <c r="C41" s="157">
        <f ca="1">TblPop[[#This Row],[Military%]]</f>
        <v>0.57737321196358904</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444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444</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444</v>
      </c>
      <c r="AB41" s="154"/>
      <c r="AC41" s="180">
        <f ca="1">(TblConstr[[#This Row],[Tot Smi]]+TblConstr[[#This Row],[Dest Smi]])/(TblConstr[[#This Row],[Land]]-TblExplore[[#This Row],[Land Bonus]]*20)</f>
        <v>0</v>
      </c>
      <c r="AD41" s="137"/>
      <c r="AE41" s="246">
        <f>TblMili[[#This Row],[Hour]]</f>
        <v>38</v>
      </c>
      <c r="AF41" s="138">
        <f ca="1">TblExplore[[#This Row],[Time]]</f>
        <v>45816.541666666577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159345</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45816.541666666577</v>
      </c>
      <c r="AW41" s="94">
        <f ca="1">TblMili[[#This Row],[Draftees]]</f>
        <v>444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Demonic Pact]]&gt;0,MIN(TblMili[[#This Row],[Unit 1]],TblMili[[#This Row],[Unit 4]])*demonic_pact_oppair,0)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0.80000000000000071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447</v>
      </c>
      <c r="C42" s="157">
        <f ca="1">TblPop[[#This Row],[Military%]]</f>
        <v>0.58127438231469442</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447</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447</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42" s="154"/>
      <c r="AC42" s="180">
        <f ca="1">(TblConstr[[#This Row],[Tot Smi]]+TblConstr[[#This Row],[Dest Smi]])/(TblConstr[[#This Row],[Land]]-TblExplore[[#This Row],[Land Bonus]]*20)</f>
        <v>0</v>
      </c>
      <c r="AD42" s="137"/>
      <c r="AE42" s="246">
        <f>TblMili[[#This Row],[Hour]]</f>
        <v>39</v>
      </c>
      <c r="AF42" s="138">
        <f ca="1">TblExplore[[#This Row],[Time]]</f>
        <v>45816.583333333241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160222</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45816.583333333241</v>
      </c>
      <c r="AW42" s="94">
        <f ca="1">TblMili[[#This Row],[Draftees]]</f>
        <v>447</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Demonic Pact]]&gt;0,MIN(TblMili[[#This Row],[Unit 1]],TblMili[[#This Row],[Unit 4]])*demonic_pact_oppair,0)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0.80000000000000071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450</v>
      </c>
      <c r="C43" s="157">
        <f ca="1">TblPop[[#This Row],[Military%]]</f>
        <v>0.58517555266579979</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450</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450</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450</v>
      </c>
      <c r="AB43" s="154"/>
      <c r="AC43" s="180">
        <f ca="1">(TblConstr[[#This Row],[Tot Smi]]+TblConstr[[#This Row],[Dest Smi]])/(TblConstr[[#This Row],[Land]]-TblExplore[[#This Row],[Land Bonus]]*20)</f>
        <v>0</v>
      </c>
      <c r="AD43" s="137"/>
      <c r="AE43" s="246">
        <f>TblMili[[#This Row],[Hour]]</f>
        <v>40</v>
      </c>
      <c r="AF43" s="138">
        <f ca="1">TblExplore[[#This Row],[Time]]</f>
        <v>45816.624999999905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161091</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45816.624999999905</v>
      </c>
      <c r="AW43" s="94">
        <f ca="1">TblMili[[#This Row],[Draftees]]</f>
        <v>450</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Demonic Pact]]&gt;0,MIN(TblMili[[#This Row],[Unit 1]],TblMili[[#This Row],[Unit 4]])*demonic_pact_oppair,0)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0.80000000000000071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453</v>
      </c>
      <c r="C44" s="157">
        <f ca="1">TblPop[[#This Row],[Military%]]</f>
        <v>0.58907672301690506</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453</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453</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453</v>
      </c>
      <c r="AB44" s="154"/>
      <c r="AC44" s="180">
        <f ca="1">(TblConstr[[#This Row],[Tot Smi]]+TblConstr[[#This Row],[Dest Smi]])/(TblConstr[[#This Row],[Land]]-TblExplore[[#This Row],[Land Bonus]]*20)</f>
        <v>0</v>
      </c>
      <c r="AD44" s="137"/>
      <c r="AE44" s="246">
        <f>TblMili[[#This Row],[Hour]]</f>
        <v>41</v>
      </c>
      <c r="AF44" s="138">
        <f ca="1">TblExplore[[#This Row],[Time]]</f>
        <v>45816.66666666657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161952</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45816.66666666657</v>
      </c>
      <c r="AW44" s="94">
        <f ca="1">TblMili[[#This Row],[Draftees]]</f>
        <v>453</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Demonic Pact]]&gt;0,MIN(TblMili[[#This Row],[Unit 1]],TblMili[[#This Row],[Unit 4]])*demonic_pact_oppair,0)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0.80000000000000071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456</v>
      </c>
      <c r="C45" s="157">
        <f ca="1">TblPop[[#This Row],[Military%]]</f>
        <v>0.59297789336801043</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456</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456</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456</v>
      </c>
      <c r="AB45" s="154"/>
      <c r="AC45" s="180">
        <f ca="1">(TblConstr[[#This Row],[Tot Smi]]+TblConstr[[#This Row],[Dest Smi]])/(TblConstr[[#This Row],[Land]]-TblExplore[[#This Row],[Land Bonus]]*20)</f>
        <v>0</v>
      </c>
      <c r="AD45" s="137"/>
      <c r="AE45" s="246">
        <f>TblMili[[#This Row],[Hour]]</f>
        <v>42</v>
      </c>
      <c r="AF45" s="138">
        <f ca="1">TblExplore[[#This Row],[Time]]</f>
        <v>45816.708333333234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162805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45816.708333333234</v>
      </c>
      <c r="AW45" s="94">
        <f ca="1">TblMili[[#This Row],[Draftees]]</f>
        <v>456</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Demonic Pact]]&gt;0,MIN(TblMili[[#This Row],[Unit 1]],TblMili[[#This Row],[Unit 4]])*demonic_pact_oppair,0)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0.80000000000000071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459</v>
      </c>
      <c r="C46" s="157">
        <f ca="1">TblPop[[#This Row],[Military%]]</f>
        <v>0.5968790637191157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459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459</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459</v>
      </c>
      <c r="AB46" s="154"/>
      <c r="AC46" s="180">
        <f ca="1">(TblConstr[[#This Row],[Tot Smi]]+TblConstr[[#This Row],[Dest Smi]])/(TblConstr[[#This Row],[Land]]-TblExplore[[#This Row],[Land Bonus]]*20)</f>
        <v>0</v>
      </c>
      <c r="AD46" s="137"/>
      <c r="AE46" s="246">
        <f>TblMili[[#This Row],[Hour]]</f>
        <v>43</v>
      </c>
      <c r="AF46" s="138">
        <f ca="1">TblExplore[[#This Row],[Time]]</f>
        <v>45816.749999999898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163650</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45816.749999999898</v>
      </c>
      <c r="AW46" s="94">
        <f ca="1">TblMili[[#This Row],[Draftees]]</f>
        <v>459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Demonic Pact]]&gt;0,MIN(TblMili[[#This Row],[Unit 1]],TblMili[[#This Row],[Unit 4]])*demonic_pact_oppair,0)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0.80000000000000071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462</v>
      </c>
      <c r="C47" s="157">
        <f ca="1">TblPop[[#This Row],[Military%]]</f>
        <v>0.60078023407022108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462</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462</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462</v>
      </c>
      <c r="AB47" s="154"/>
      <c r="AC47" s="180">
        <f ca="1">(TblConstr[[#This Row],[Tot Smi]]+TblConstr[[#This Row],[Dest Smi]])/(TblConstr[[#This Row],[Land]]-TblExplore[[#This Row],[Land Bonus]]*20)</f>
        <v>0</v>
      </c>
      <c r="AD47" s="137"/>
      <c r="AE47" s="246">
        <f>TblMili[[#This Row],[Hour]]</f>
        <v>44</v>
      </c>
      <c r="AF47" s="138">
        <f ca="1">TblExplore[[#This Row],[Time]]</f>
        <v>45816.791666666562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164487</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45816.791666666562</v>
      </c>
      <c r="AW47" s="94">
        <f ca="1">TblMili[[#This Row],[Draftees]]</f>
        <v>462</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Demonic Pact]]&gt;0,MIN(TblMili[[#This Row],[Unit 1]],TblMili[[#This Row],[Unit 4]])*demonic_pact_oppair,0)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0.80000000000000071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465</v>
      </c>
      <c r="C48" s="157">
        <f ca="1">TblPop[[#This Row],[Military%]]</f>
        <v>0.60468140442132645</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465</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465</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465</v>
      </c>
      <c r="AB48" s="154"/>
      <c r="AC48" s="180">
        <f ca="1">(TblConstr[[#This Row],[Tot Smi]]+TblConstr[[#This Row],[Dest Smi]])/(TblConstr[[#This Row],[Land]]-TblExplore[[#This Row],[Land Bonus]]*20)</f>
        <v>0</v>
      </c>
      <c r="AD48" s="137"/>
      <c r="AE48" s="246">
        <f>TblMili[[#This Row],[Hour]]</f>
        <v>45</v>
      </c>
      <c r="AF48" s="138">
        <f ca="1">TblExplore[[#This Row],[Time]]</f>
        <v>45816.833333333227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165315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45816.833333333227</v>
      </c>
      <c r="AW48" s="94">
        <f ca="1">TblMili[[#This Row],[Draftees]]</f>
        <v>465</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Demonic Pact]]&gt;0,MIN(TblMili[[#This Row],[Unit 1]],TblMili[[#This Row],[Unit 4]])*demonic_pact_oppair,0)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0.80000000000000071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468</v>
      </c>
      <c r="C49" s="157">
        <f ca="1">TblPop[[#This Row],[Military%]]</f>
        <v>0.60858257477243172</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468</v>
      </c>
      <c r="AB49" s="154"/>
      <c r="AC49" s="180">
        <f ca="1">(TblConstr[[#This Row],[Tot Smi]]+TblConstr[[#This Row],[Dest Smi]])/(TblConstr[[#This Row],[Land]]-TblExplore[[#This Row],[Land Bonus]]*20)</f>
        <v>0</v>
      </c>
      <c r="AD49" s="137"/>
      <c r="AE49" s="246">
        <f>TblMili[[#This Row],[Hour]]</f>
        <v>46</v>
      </c>
      <c r="AF49" s="138">
        <f ca="1">TblExplore[[#This Row],[Time]]</f>
        <v>45816.874999999891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166135</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45816.874999999891</v>
      </c>
      <c r="AW49" s="94">
        <f ca="1">TblMili[[#This Row],[Draftees]]</f>
        <v>468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Demonic Pact]]&gt;0,MIN(TblMili[[#This Row],[Unit 1]],TblMili[[#This Row],[Unit 4]])*demonic_pact_oppair,0)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0.80000000000000071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471</v>
      </c>
      <c r="C50" s="157">
        <f ca="1">TblPop[[#This Row],[Military%]]</f>
        <v>0.61248374512353709</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471</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471</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471</v>
      </c>
      <c r="AB50" s="154"/>
      <c r="AC50" s="180">
        <f ca="1">(TblConstr[[#This Row],[Tot Smi]]+TblConstr[[#This Row],[Dest Smi]])/(TblConstr[[#This Row],[Land]]-TblExplore[[#This Row],[Land Bonus]]*20)</f>
        <v>0</v>
      </c>
      <c r="AD50" s="137"/>
      <c r="AE50" s="246">
        <f>TblMili[[#This Row],[Hour]]</f>
        <v>47</v>
      </c>
      <c r="AF50" s="138">
        <f ca="1">TblExplore[[#This Row],[Time]]</f>
        <v>45816.916666666555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166947</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45816.916666666555</v>
      </c>
      <c r="AW50" s="94">
        <f ca="1">TblMili[[#This Row],[Draftees]]</f>
        <v>471</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Demonic Pact]]&gt;0,MIN(TblMili[[#This Row],[Unit 1]],TblMili[[#This Row],[Unit 4]])*demonic_pact_oppair,0)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0.80000000000000071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474</v>
      </c>
      <c r="C51" s="157">
        <f ca="1">TblPop[[#This Row],[Military%]]</f>
        <v>0.61638491547464236</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474</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474</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51" s="154"/>
      <c r="AC51" s="180">
        <f ca="1">(TblConstr[[#This Row],[Tot Smi]]+TblConstr[[#This Row],[Dest Smi]])/(TblConstr[[#This Row],[Land]]-TblExplore[[#This Row],[Land Bonus]]*20)</f>
        <v>0</v>
      </c>
      <c r="AD51" s="137"/>
      <c r="AE51" s="246">
        <f>TblMili[[#This Row],[Hour]]</f>
        <v>48</v>
      </c>
      <c r="AF51" s="138">
        <f ca="1">TblExplore[[#This Row],[Time]]</f>
        <v>45816.958333333219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167751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45816.958333333219</v>
      </c>
      <c r="AW51" s="94">
        <f ca="1">TblMili[[#This Row],[Draftees]]</f>
        <v>474</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Demonic Pact]]&gt;0,MIN(TblMili[[#This Row],[Unit 1]],TblMili[[#This Row],[Unit 4]])*demonic_pact_oppair,0)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0.80000000000000071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s="5" customFormat="1" x14ac:dyDescent="0.2">
      <c r="A52" s="144">
        <f>TblRezone[[#This Row],[Hour]]</f>
        <v>49</v>
      </c>
      <c r="B52" s="258">
        <f ca="1">SUM(TblMili[[#This Row],[Unit 1]:[Archmages]])+SUM(OFFSET(TblMili[[#This Row],[Train Unit 1]],-8,0):TblMili[[#This Row],[Train Unit 2]]) + SUM(OFFSET(TblMili[[#This Row],[Train Unit 3]],-11,0):TblMili[[#This Row],[Train AM]]) + TblMili[[#This Row],[Draftees]]</f>
        <v>477</v>
      </c>
      <c r="C52" s="165">
        <f ca="1">TblPop[[#This Row],[Military%]]</f>
        <v>0.62028608582574774</v>
      </c>
      <c r="D52" s="149"/>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f>
        <v>0</v>
      </c>
      <c r="L52" s="5">
        <f ca="1">OFFSET(TblMili[[#This Row],[Archmages]],-1,0) + OFFSET(TblMili[[#This Row],[Train AM]],-12,0) - TblMili[[#This Row],[Release AM]]</f>
        <v>0</v>
      </c>
      <c r="M52" s="149"/>
      <c r="N52" s="35">
        <f ca="1">TblProd[[#This Row],[Networth]]</f>
        <v>1250</v>
      </c>
      <c r="O52" s="149"/>
      <c r="P52" s="450">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0">
        <f ca="1">TblMili[[#This Row],[Raw]]*(1+TblMili[[#This Row],[Mods_Off]])</f>
        <v>0</v>
      </c>
      <c r="S52" s="450">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450">
        <f ca="1">TblMili[[#This Row],[Non Draft]]+TblMili[[#This Row],[Draftees]]</f>
        <v>477</v>
      </c>
      <c r="U52" s="451">
        <f ca="1">race_defense + TblImps[[#This Row],[Walls]] + ROUND( MIN(gt_bonus*TblConstr[[#This Row],[Tot GT]]/TblConstr[[#This Row],[Land]],gt_bonus_cap), 4) + IF(TblMagic[[#This Row],[Active Howling]]&gt;0,howling_dp_bonus,IF(TblMagic[[#This Row],[Active Ares Call]]&gt;0,ares_call_bonus))</f>
        <v>0</v>
      </c>
      <c r="V52" s="452">
        <f ca="1">TblMili[[#This Row],[Non Draft]] * (1 + TblMili[[#This Row],[Mods_Def]])</f>
        <v>0</v>
      </c>
      <c r="W52" s="450">
        <f ca="1">TblMili[[#This Row],[Draft]] * (1 + TblMili[[#This Row],[Mods_Def]])</f>
        <v>477</v>
      </c>
      <c r="X52" s="450">
        <f ca="1">TblConstr[[#This Row],[Land]]</f>
        <v>50</v>
      </c>
      <c r="Y52" s="259"/>
      <c r="Z52" s="453">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f>
        <v>477</v>
      </c>
      <c r="AB52" s="162"/>
      <c r="AC52" s="436">
        <f ca="1">(TblConstr[[#This Row],[Tot Smi]]+TblConstr[[#This Row],[Dest Smi]])/(TblConstr[[#This Row],[Land]]-TblExplore[[#This Row],[Land Bonus]]*20)</f>
        <v>0</v>
      </c>
      <c r="AD52" s="454"/>
      <c r="AE52" s="455">
        <f>TblMili[[#This Row],[Hour]]</f>
        <v>49</v>
      </c>
      <c r="AF52" s="145">
        <f ca="1">TblExplore[[#This Row],[Time]]</f>
        <v>45816.999999999884</v>
      </c>
      <c r="AG52" s="201"/>
      <c r="AH52" s="201"/>
      <c r="AI52" s="201"/>
      <c r="AJ52" s="201"/>
      <c r="AK52" s="201"/>
      <c r="AL52" s="201"/>
      <c r="AM52" s="201"/>
      <c r="AN52" s="201"/>
      <c r="AO52" s="421">
        <f ca="1">ROUND(IF(AND(TblMagic[[#This Row],[Active DnD]]&lt;12,TblMagic[[#This Row],[Active DnD]]&gt;5),OFFSET(TblPop[[#This Row],[Draft Growth]],-1,0)*0.375,0),0)</f>
        <v>0</v>
      </c>
      <c r="AP52" s="149"/>
      <c r="AQ52" s="35">
        <f ca="1">TblProd[[#This Row],[Platinum]]</f>
        <v>168547</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49">
        <f>TblMili[[#This Row],[Hour]]</f>
        <v>49</v>
      </c>
      <c r="AV52" s="160">
        <f ca="1">TblMili[[#This Row],[Time]]</f>
        <v>45816.999999999884</v>
      </c>
      <c r="AW52" s="35">
        <f ca="1">TblMili[[#This Row],[Draftees]]</f>
        <v>477</v>
      </c>
      <c r="AX52" s="201"/>
      <c r="AY52" s="201"/>
      <c r="AZ52" s="201"/>
      <c r="BA52" s="201"/>
      <c r="BB52" s="201"/>
      <c r="BC52" s="201"/>
      <c r="BD52" s="201"/>
      <c r="BE52" s="201"/>
      <c r="BF52" s="201"/>
      <c r="BG52" s="149"/>
      <c r="BH52" s="165">
        <f ca="1">TblConstr[[#This Row],[Tot WG]]/TblConstr[[#This Row],[Land]]</f>
        <v>0</v>
      </c>
      <c r="BI52" s="165">
        <f ca="1">TblConstr[[#This Row],[Tot Hav]]/TblConstr[[#This Row],[Land]]</f>
        <v>0</v>
      </c>
      <c r="BJ52" s="35">
        <f ca="1">ROUNDUP((1-MIN(TblMili[[#This Row],[Smithies]]*smithy_bonus,smithy_bonus_cap) + tech_3_5*TblTech[[#This Row],[3-5]] + tech_5_3*TblTech[[#This Row],[5-3]] + tech_5_5*TblTech[[#This Row],[5-5]])*spec_op_plat,0)</f>
        <v>275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Row],[9-1]])*archmage_plat,0)</f>
        <v>1000</v>
      </c>
      <c r="BV52" s="149"/>
      <c r="BW52" s="165">
        <f ca="1">TblConstr[[#This Row],[Homeland]]/TblConstr[[#This Row],[Land]]</f>
        <v>0.6</v>
      </c>
      <c r="BX52" s="165">
        <f ca="1">TblMili[[#This Row],[WG''s]]</f>
        <v>0</v>
      </c>
      <c r="BY52" s="456">
        <f ca="1">IF(mystic_cap="none",TblMili[[#This Row],[Homeland%]]/mystic_bonus,MIN(mystic_cap,TblMili[[#This Row],[Homeland%]]/mystic_bonus))</f>
        <v>2</v>
      </c>
      <c r="BZ52" s="456">
        <f ca="1">IF(druid_op_cap="none",TblMili[[#This Row],[Homeland%]]/druid_op_bonus,MIN(druid_op_cap,TblMili[[#This Row],[Homeland%]]/druid_op_bonus))</f>
        <v>2</v>
      </c>
      <c r="CA52" s="456">
        <f ca="1">IF(druid_dp_cap="none",TblMili[[#This Row],[Homeland%]]/druid_dp_bonus,MIN(druid_dp_cap,TblMili[[#This Row],[Homeland%]]/druid_dp_bonus))</f>
        <v>2</v>
      </c>
      <c r="CB52" s="456">
        <f ca="1">MIN(dryad_cap,TblMili[[#This Row],[Homeland%]]/dryad_bonus)</f>
        <v>2.9999999999999996</v>
      </c>
      <c r="CC52" s="456">
        <f ca="1">MIN(rocka_cap,TblMili[[#This Row],[Homeland%]]/rocka_bonus)</f>
        <v>2</v>
      </c>
      <c r="CD52" s="456">
        <f ca="1">MIN(adept_op_cap,TblMili[[#This Row],[WG]]/adept_op_bonus)</f>
        <v>0</v>
      </c>
      <c r="CE52" s="456">
        <f ca="1">MIN(adept_dp_cap,TblMili[[#This Row],[WG]]/adept_dp_bonus)</f>
        <v>0</v>
      </c>
      <c r="CF52" s="35">
        <f ca="1">MIN(TblMili[[#This Row],[Unit 3]],TblMili[[#This Row],[Unit 2]])*2</f>
        <v>0</v>
      </c>
      <c r="CG52" s="35">
        <f ca="1">MIN(TblMili[[#This Row],[Unit 1]],TblMili[[#This Row],[Unit 4]])*2</f>
        <v>0</v>
      </c>
      <c r="CH52" s="456">
        <f ca="1">MIN(frost_mage_cap,TblMili[[#This Row],[Homeland%]]/frost_mage_bonus)</f>
        <v>2.9999999999999996</v>
      </c>
      <c r="CI52" s="5">
        <f ca="1">MIN(ice_elem_cap,TblMili[[#This Row],[Raw (2)]]*ice_elem_bonus)</f>
        <v>0</v>
      </c>
      <c r="CJ52" s="456">
        <f t="shared" si="2"/>
        <v>0.83333333333333337</v>
      </c>
      <c r="CK52" s="456">
        <f ca="1">MIN(nox_nightshade_cap,TblConstr[[#This Row],[Homeland]]/TblConstr[[#This Row],[Land]]/nox_nightshade_swamp_bonus)</f>
        <v>4</v>
      </c>
      <c r="CL52" s="456">
        <f ca="1">MIN(TblConstr[[#This Row],[Total Swamp]]/TblConstr[[#This Row],[Land]]/abyss_enforce_bonus,abyss_enforcer_cap)</f>
        <v>0</v>
      </c>
      <c r="CM52" s="456">
        <f ca="1">IF(TblMagic[[#This Row],[Active Demonic Pact]]&gt;0,MIN(TblMili[[#This Row],[Unit 1]],TblMili[[#This Row],[Unit 4]])*demonic_pact_oppair,0)</f>
        <v>0</v>
      </c>
      <c r="CN52" s="260"/>
      <c r="CO52" s="260"/>
      <c r="CP52" s="260"/>
      <c r="CQ52" s="456">
        <f ca="1">MIN(6,TblMili[[#This Row],[Mystic]]+Races!$F$19)*1.8 +  IF(TblMili[[#This Row],[Mystic]]+Races!$F$19&gt;6,(TblMili[[#This Row],[Mystic]]+Races!$F$19-6)*0.2,0) - Races!$I$19</f>
        <v>1</v>
      </c>
      <c r="CR52" s="456">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35">
        <f ca="1">TblMili[[#This Row],[Mystic bonus]]*TblMili[[#This Row],[Unit 3]]+TblMili[[#This Row],[Druid bonus]]*TblMili[[#This Row],[Unit 4]]</f>
        <v>0</v>
      </c>
      <c r="CT52" s="163">
        <f ca="1">MIN(6,TblMili[[#This Row],[Dryad]]+Races!$F$35)*1.8 +  IF(TblMili[[#This Row],[Dryad]]+Races!$F$35&gt;6,(TblMili[[#This Row],[Dryad]]+Races!$F$35-6)*0.2,0) - Races!$I$19</f>
        <v>0.80000000000000071</v>
      </c>
      <c r="CU52" s="35">
        <f ca="1">sylvan*(TblMili[[#This Row],[Mystic bonus]]*TblMili[[#This Row],[Unit 3]])</f>
        <v>0</v>
      </c>
      <c r="CV52" s="163">
        <f ca="1">1.8 * MIN(MAX(Races!$E$27,TblMili[[#This Row],[Rockapult]]+Races!$F$27),6)  +  0.45 * MIN(MIN(Races!$E$27,TblMili[[#This Row],[Rockapult]]+Races!$F$27),6)  +  0.2 * ( MAX(Races!$E$27-6,0) + MAX(TblMili[[#This Row],[Rockapult]]+Races!$F$27-6,0) )  -  Races!$I$20</f>
        <v>3.7000000000000011</v>
      </c>
      <c r="CW52" s="35">
        <f ca="1">gnome*(TblMili[[#This Row],[Rockapult bonus]]*TblMili[[#This Row],[Unit 3]])</f>
        <v>0</v>
      </c>
      <c r="CX52"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35">
        <f ca="1">dark_elf*(TblMili[[#This Row],[Adept bonus]]*TblMili[[#This Row],[Unit 3]])</f>
        <v>0</v>
      </c>
      <c r="CZ52" s="163">
        <f ca="1">1.8 * MIN(MAX(TblMili[[#This Row],[Frost Mage]]+Races!$F$71,Races!$E$71),6)  +  0.45 * MIN(MIN(TblMili[[#This Row],[Frost Mage]]+Races!$F$71,Races!$E$71),6)  +  0.2 * ( MAX(TblMili[[#This Row],[Frost Mage]]+Races!$F$71-6,0) + MAX(Races!$E$71-6,0) )  -  Races!$I$71</f>
        <v>6.15</v>
      </c>
      <c r="DA52" s="163">
        <f ca="1">1.8 * MIN(MAX(TblMili[[#This Row],[Ice Elemental]]+Races!$E$71,Races!$F$71),6)  +  0.45 * MIN(MIN(TblMili[[#This Row],[Ice Elemental]]+Races!$E$71,Races!$F$71),6)  +  0.2 * ( MAX(TblMili[[#This Row],[Ice Elemental]]+Races!$E$71-6,0) + MAX(Races!$F$71-6,0) )  -  Races!$I$71</f>
        <v>0.75</v>
      </c>
      <c r="DB52" s="35">
        <f ca="1">TblMili[[#This Row],[Frost Mage bonus]]*TblMili[[#This Row],[Unit 3]]+TblMili[[#This Row],[Ice Elemental bonus]]*TblMili[[#This Row],[Unit 4]]</f>
        <v>0</v>
      </c>
      <c r="DC52" s="261"/>
      <c r="DD52" s="150">
        <f ca="1">MIN(SUM(TblConstr[[#This Row],[Plain]:[Water]])/TblMili[[#This Row],[Land]]/favorable_terrain_bonus/100,favorable_terrain_max)</f>
        <v>0</v>
      </c>
      <c r="DE52" s="261"/>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9"/>
      <c r="DH52" s="457">
        <f ca="1">(TblMili[[#This Row],[Wizards]]+2*TblMili[[#This Row],[Archmages]])/TblConstr[[#This Row],[Land]]</f>
        <v>0</v>
      </c>
      <c r="DI52" s="457">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480</v>
      </c>
      <c r="C53" s="157">
        <f ca="1">TblPop[[#This Row],[Military%]]</f>
        <v>0.62418725617685311</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480</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480</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480</v>
      </c>
      <c r="AB53" s="154"/>
      <c r="AC53" s="180">
        <f ca="1">(TblConstr[[#This Row],[Tot Smi]]+TblConstr[[#This Row],[Dest Smi]])/(TblConstr[[#This Row],[Land]]-TblExplore[[#This Row],[Land Bonus]]*20)</f>
        <v>0</v>
      </c>
      <c r="AD53" s="137"/>
      <c r="AE53" s="246">
        <f>TblMili[[#This Row],[Hour]]</f>
        <v>50</v>
      </c>
      <c r="AF53" s="138">
        <f ca="1">TblExplore[[#This Row],[Time]]</f>
        <v>45817.041666666548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169335</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45817.041666666548</v>
      </c>
      <c r="AW53" s="94">
        <f ca="1">TblMili[[#This Row],[Draftees]]</f>
        <v>480</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Demonic Pact]]&gt;0,MIN(TblMili[[#This Row],[Unit 1]],TblMili[[#This Row],[Unit 4]])*demonic_pact_oppair,0)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0.80000000000000071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483</v>
      </c>
      <c r="C54" s="157">
        <f ca="1">TblPop[[#This Row],[Military%]]</f>
        <v>0.62808842652795838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483</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483</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483</v>
      </c>
      <c r="AB54" s="154"/>
      <c r="AC54" s="180">
        <f ca="1">(TblConstr[[#This Row],[Tot Smi]]+TblConstr[[#This Row],[Dest Smi]])/(TblConstr[[#This Row],[Land]]-TblExplore[[#This Row],[Land Bonus]]*20)</f>
        <v>0</v>
      </c>
      <c r="AD54" s="137"/>
      <c r="AE54" s="246">
        <f>TblMili[[#This Row],[Hour]]</f>
        <v>51</v>
      </c>
      <c r="AF54" s="138">
        <f ca="1">TblExplore[[#This Row],[Time]]</f>
        <v>45817.083333333212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170115</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45817.083333333212</v>
      </c>
      <c r="AW54" s="94">
        <f ca="1">TblMili[[#This Row],[Draftees]]</f>
        <v>483</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Demonic Pact]]&gt;0,MIN(TblMili[[#This Row],[Unit 1]],TblMili[[#This Row],[Unit 4]])*demonic_pact_oppair,0)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0.80000000000000071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486</v>
      </c>
      <c r="C55" s="157">
        <f ca="1">TblPop[[#This Row],[Military%]]</f>
        <v>0.63198959687906375</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486</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486</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486</v>
      </c>
      <c r="AB55" s="154"/>
      <c r="AC55" s="180">
        <f ca="1">(TblConstr[[#This Row],[Tot Smi]]+TblConstr[[#This Row],[Dest Smi]])/(TblConstr[[#This Row],[Land]]-TblExplore[[#This Row],[Land Bonus]]*20)</f>
        <v>0</v>
      </c>
      <c r="AD55" s="137"/>
      <c r="AE55" s="246">
        <f>TblMili[[#This Row],[Hour]]</f>
        <v>52</v>
      </c>
      <c r="AF55" s="138">
        <f ca="1">TblExplore[[#This Row],[Time]]</f>
        <v>45817.124999999876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170887</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45817.124999999876</v>
      </c>
      <c r="AW55" s="94">
        <f ca="1">TblMili[[#This Row],[Draftees]]</f>
        <v>486</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Demonic Pact]]&gt;0,MIN(TblMili[[#This Row],[Unit 1]],TblMili[[#This Row],[Unit 4]])*demonic_pact_oppair,0)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0.80000000000000071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489</v>
      </c>
      <c r="C56" s="157">
        <f ca="1">TblPop[[#This Row],[Military%]]</f>
        <v>0.63589076723016902</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489</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489</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489</v>
      </c>
      <c r="AB56" s="154"/>
      <c r="AC56" s="180">
        <f ca="1">(TblConstr[[#This Row],[Tot Smi]]+TblConstr[[#This Row],[Dest Smi]])/(TblConstr[[#This Row],[Land]]-TblExplore[[#This Row],[Land Bonus]]*20)</f>
        <v>0</v>
      </c>
      <c r="AD56" s="137"/>
      <c r="AE56" s="246">
        <f>TblMili[[#This Row],[Hour]]</f>
        <v>53</v>
      </c>
      <c r="AF56" s="138">
        <f ca="1">TblExplore[[#This Row],[Time]]</f>
        <v>45817.166666666541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171651</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45817.166666666541</v>
      </c>
      <c r="AW56" s="94">
        <f ca="1">TblMili[[#This Row],[Draftees]]</f>
        <v>489</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Demonic Pact]]&gt;0,MIN(TblMili[[#This Row],[Unit 1]],TblMili[[#This Row],[Unit 4]])*demonic_pact_oppair,0)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0.80000000000000071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492</v>
      </c>
      <c r="C57" s="157">
        <f ca="1">TblPop[[#This Row],[Military%]]</f>
        <v>0.63979193758127439</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492</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492</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57" s="154"/>
      <c r="AC57" s="180">
        <f ca="1">(TblConstr[[#This Row],[Tot Smi]]+TblConstr[[#This Row],[Dest Smi]])/(TblConstr[[#This Row],[Land]]-TblExplore[[#This Row],[Land Bonus]]*20)</f>
        <v>0</v>
      </c>
      <c r="AD57" s="137"/>
      <c r="AE57" s="246">
        <f>TblMili[[#This Row],[Hour]]</f>
        <v>54</v>
      </c>
      <c r="AF57" s="138">
        <f ca="1">TblExplore[[#This Row],[Time]]</f>
        <v>45817.208333333205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172407</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45817.208333333205</v>
      </c>
      <c r="AW57" s="94">
        <f ca="1">TblMili[[#This Row],[Draftees]]</f>
        <v>492</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Demonic Pact]]&gt;0,MIN(TblMili[[#This Row],[Unit 1]],TblMili[[#This Row],[Unit 4]])*demonic_pact_oppair,0)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0.80000000000000071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495</v>
      </c>
      <c r="C58" s="157">
        <f ca="1">TblPop[[#This Row],[Military%]]</f>
        <v>0.64369310793237966</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495</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495</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495</v>
      </c>
      <c r="AB58" s="154"/>
      <c r="AC58" s="180">
        <f ca="1">(TblConstr[[#This Row],[Tot Smi]]+TblConstr[[#This Row],[Dest Smi]])/(TblConstr[[#This Row],[Land]]-TblExplore[[#This Row],[Land Bonus]]*20)</f>
        <v>0</v>
      </c>
      <c r="AD58" s="137"/>
      <c r="AE58" s="246">
        <f>TblMili[[#This Row],[Hour]]</f>
        <v>55</v>
      </c>
      <c r="AF58" s="138">
        <f ca="1">TblExplore[[#This Row],[Time]]</f>
        <v>45817.249999999869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173154</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45817.249999999869</v>
      </c>
      <c r="AW58" s="94">
        <f ca="1">TblMili[[#This Row],[Draftees]]</f>
        <v>495</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Demonic Pact]]&gt;0,MIN(TblMili[[#This Row],[Unit 1]],TblMili[[#This Row],[Unit 4]])*demonic_pact_oppair,0)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0.80000000000000071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498</v>
      </c>
      <c r="C59" s="157">
        <f ca="1">TblPop[[#This Row],[Military%]]</f>
        <v>0.64759427828348504</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59" s="154"/>
      <c r="AC59" s="180">
        <f ca="1">(TblConstr[[#This Row],[Tot Smi]]+TblConstr[[#This Row],[Dest Smi]])/(TblConstr[[#This Row],[Land]]-TblExplore[[#This Row],[Land Bonus]]*20)</f>
        <v>0</v>
      </c>
      <c r="AD59" s="137"/>
      <c r="AE59" s="246">
        <f>TblMili[[#This Row],[Hour]]</f>
        <v>56</v>
      </c>
      <c r="AF59" s="138">
        <f ca="1">TblExplore[[#This Row],[Time]]</f>
        <v>45817.291666666533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173893</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45817.291666666533</v>
      </c>
      <c r="AW59" s="94">
        <f ca="1">TblMili[[#This Row],[Draftees]]</f>
        <v>498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Demonic Pact]]&gt;0,MIN(TblMili[[#This Row],[Unit 1]],TblMili[[#This Row],[Unit 4]])*demonic_pact_oppair,0)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0.80000000000000071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501</v>
      </c>
      <c r="C60" s="157">
        <f ca="1">TblPop[[#This Row],[Military%]]</f>
        <v>0.65149544863459041</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501</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501</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501</v>
      </c>
      <c r="AB60" s="154"/>
      <c r="AC60" s="180">
        <f ca="1">(TblConstr[[#This Row],[Tot Smi]]+TblConstr[[#This Row],[Dest Smi]])/(TblConstr[[#This Row],[Land]]-TblExplore[[#This Row],[Land Bonus]]*20)</f>
        <v>0</v>
      </c>
      <c r="AD60" s="137"/>
      <c r="AE60" s="246">
        <f>TblMili[[#This Row],[Hour]]</f>
        <v>57</v>
      </c>
      <c r="AF60" s="138">
        <f ca="1">TblExplore[[#This Row],[Time]]</f>
        <v>45817.333333333198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174624</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45817.333333333198</v>
      </c>
      <c r="AW60" s="94">
        <f ca="1">TblMili[[#This Row],[Draftees]]</f>
        <v>501</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Demonic Pact]]&gt;0,MIN(TblMili[[#This Row],[Unit 1]],TblMili[[#This Row],[Unit 4]])*demonic_pact_oppair,0)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0.80000000000000071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504</v>
      </c>
      <c r="C61" s="157">
        <f ca="1">TblPop[[#This Row],[Military%]]</f>
        <v>0.65539661898569568</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504</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504</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504</v>
      </c>
      <c r="AB61" s="154"/>
      <c r="AC61" s="180">
        <f ca="1">(TblConstr[[#This Row],[Tot Smi]]+TblConstr[[#This Row],[Dest Smi]])/(TblConstr[[#This Row],[Land]]-TblExplore[[#This Row],[Land Bonus]]*20)</f>
        <v>0</v>
      </c>
      <c r="AD61" s="137"/>
      <c r="AE61" s="246">
        <f>TblMili[[#This Row],[Hour]]</f>
        <v>58</v>
      </c>
      <c r="AF61" s="138">
        <f ca="1">TblExplore[[#This Row],[Time]]</f>
        <v>45817.374999999862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175347</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45817.374999999862</v>
      </c>
      <c r="AW61" s="94">
        <f ca="1">TblMili[[#This Row],[Draftees]]</f>
        <v>504</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Demonic Pact]]&gt;0,MIN(TblMili[[#This Row],[Unit 1]],TblMili[[#This Row],[Unit 4]])*demonic_pact_oppair,0)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0.80000000000000071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507</v>
      </c>
      <c r="C62" s="157">
        <f ca="1">TblPop[[#This Row],[Military%]]</f>
        <v>0.65929778933680105</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507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507</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507</v>
      </c>
      <c r="AB62" s="154"/>
      <c r="AC62" s="180">
        <f ca="1">(TblConstr[[#This Row],[Tot Smi]]+TblConstr[[#This Row],[Dest Smi]])/(TblConstr[[#This Row],[Land]]-TblExplore[[#This Row],[Land Bonus]]*20)</f>
        <v>0</v>
      </c>
      <c r="AD62" s="137"/>
      <c r="AE62" s="246">
        <f>TblMili[[#This Row],[Hour]]</f>
        <v>59</v>
      </c>
      <c r="AF62" s="138">
        <f ca="1">TblExplore[[#This Row],[Time]]</f>
        <v>45817.416666666526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176062</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45817.416666666526</v>
      </c>
      <c r="AW62" s="94">
        <f ca="1">TblMili[[#This Row],[Draftees]]</f>
        <v>507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Demonic Pact]]&gt;0,MIN(TblMili[[#This Row],[Unit 1]],TblMili[[#This Row],[Unit 4]])*demonic_pact_oppair,0)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0.80000000000000071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510</v>
      </c>
      <c r="C63" s="157">
        <f ca="1">TblPop[[#This Row],[Military%]]</f>
        <v>0.66319895968790632</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510</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510</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63" s="154"/>
      <c r="AC63" s="180">
        <f ca="1">(TblConstr[[#This Row],[Tot Smi]]+TblConstr[[#This Row],[Dest Smi]])/(TblConstr[[#This Row],[Land]]-TblExplore[[#This Row],[Land Bonus]]*20)</f>
        <v>0</v>
      </c>
      <c r="AD63" s="137"/>
      <c r="AE63" s="246">
        <f>TblMili[[#This Row],[Hour]]</f>
        <v>60</v>
      </c>
      <c r="AF63" s="138">
        <f ca="1">TblExplore[[#This Row],[Time]]</f>
        <v>45817.45833333319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176769</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45817.45833333319</v>
      </c>
      <c r="AW63" s="94">
        <f ca="1">TblMili[[#This Row],[Draftees]]</f>
        <v>510</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Demonic Pact]]&gt;0,MIN(TblMili[[#This Row],[Unit 1]],TblMili[[#This Row],[Unit 4]])*demonic_pact_oppair,0)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0.80000000000000071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513</v>
      </c>
      <c r="C64" s="157">
        <f ca="1">TblPop[[#This Row],[Military%]]</f>
        <v>0.6671001300390117</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513</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513</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513</v>
      </c>
      <c r="AB64" s="154"/>
      <c r="AC64" s="180">
        <f ca="1">(TblConstr[[#This Row],[Tot Smi]]+TblConstr[[#This Row],[Dest Smi]])/(TblConstr[[#This Row],[Land]]-TblExplore[[#This Row],[Land Bonus]]*20)</f>
        <v>0</v>
      </c>
      <c r="AD64" s="246"/>
      <c r="AE64" s="246">
        <f>TblMili[[#This Row],[Hour]]</f>
        <v>61</v>
      </c>
      <c r="AF64" s="138">
        <f ca="1">TblExplore[[#This Row],[Time]]</f>
        <v>45817.499999999854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177468</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45817.499999999854</v>
      </c>
      <c r="AW64" s="94">
        <f ca="1">TblMili[[#This Row],[Draftees]]</f>
        <v>513</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Demonic Pact]]&gt;0,MIN(TblMili[[#This Row],[Unit 1]],TblMili[[#This Row],[Unit 4]])*demonic_pact_oppair,0)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0.80000000000000071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516</v>
      </c>
      <c r="C65" s="157">
        <f ca="1">TblPop[[#This Row],[Military%]]</f>
        <v>0.67100130039011707</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516</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516</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516</v>
      </c>
      <c r="AB65" s="154"/>
      <c r="AC65" s="180">
        <f ca="1">(TblConstr[[#This Row],[Tot Smi]]+TblConstr[[#This Row],[Dest Smi]])/(TblConstr[[#This Row],[Land]]-TblExplore[[#This Row],[Land Bonus]]*20)</f>
        <v>0</v>
      </c>
      <c r="AD65" s="137"/>
      <c r="AE65" s="246">
        <f>TblMili[[#This Row],[Hour]]</f>
        <v>62</v>
      </c>
      <c r="AF65" s="138">
        <f ca="1">TblExplore[[#This Row],[Time]]</f>
        <v>45817.541666666519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178159</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45817.541666666519</v>
      </c>
      <c r="AW65" s="94">
        <f ca="1">TblMili[[#This Row],[Draftees]]</f>
        <v>516</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Demonic Pact]]&gt;0,MIN(TblMili[[#This Row],[Unit 1]],TblMili[[#This Row],[Unit 4]])*demonic_pact_oppair,0)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0.80000000000000071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519</v>
      </c>
      <c r="C66" s="157">
        <f ca="1">TblPop[[#This Row],[Military%]]</f>
        <v>0.67490247074122234</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519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519</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519</v>
      </c>
      <c r="AB66" s="154"/>
      <c r="AC66" s="180">
        <f ca="1">(TblConstr[[#This Row],[Tot Smi]]+TblConstr[[#This Row],[Dest Smi]])/(TblConstr[[#This Row],[Land]]-TblExplore[[#This Row],[Land Bonus]]*20)</f>
        <v>0</v>
      </c>
      <c r="AD66" s="137"/>
      <c r="AE66" s="246">
        <f>TblMili[[#This Row],[Hour]]</f>
        <v>63</v>
      </c>
      <c r="AF66" s="138">
        <f ca="1">TblExplore[[#This Row],[Time]]</f>
        <v>45817.583333333183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178842</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45817.583333333183</v>
      </c>
      <c r="AW66" s="94">
        <f ca="1">TblMili[[#This Row],[Draftees]]</f>
        <v>519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Demonic Pact]]&gt;0,MIN(TblMili[[#This Row],[Unit 1]],TblMili[[#This Row],[Unit 4]])*demonic_pact_oppair,0)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0.80000000000000071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522</v>
      </c>
      <c r="C67" s="157">
        <f ca="1">TblPop[[#This Row],[Military%]]</f>
        <v>0.67880364109232771</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522</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522</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522</v>
      </c>
      <c r="AB67" s="154"/>
      <c r="AC67" s="180">
        <f ca="1">(TblConstr[[#This Row],[Tot Smi]]+TblConstr[[#This Row],[Dest Smi]])/(TblConstr[[#This Row],[Land]]-TblExplore[[#This Row],[Land Bonus]]*20)</f>
        <v>0</v>
      </c>
      <c r="AD67" s="137"/>
      <c r="AE67" s="246">
        <f>TblMili[[#This Row],[Hour]]</f>
        <v>64</v>
      </c>
      <c r="AF67" s="138">
        <f ca="1">TblExplore[[#This Row],[Time]]</f>
        <v>45817.624999999847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179517</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45817.624999999847</v>
      </c>
      <c r="AW67" s="94">
        <f ca="1">TblMili[[#This Row],[Draftees]]</f>
        <v>522</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Demonic Pact]]&gt;0,MIN(TblMili[[#This Row],[Unit 1]],TblMili[[#This Row],[Unit 4]])*demonic_pact_oppair,0)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0.80000000000000071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524</v>
      </c>
      <c r="C68" s="157">
        <f ca="1">TblPop[[#This Row],[Military%]]</f>
        <v>0.68140442132639789</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524</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524</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524</v>
      </c>
      <c r="AB68" s="154"/>
      <c r="AC68" s="180">
        <f ca="1">(TblConstr[[#This Row],[Tot Smi]]+TblConstr[[#This Row],[Dest Smi]])/(TblConstr[[#This Row],[Land]]-TblExplore[[#This Row],[Land Bonus]]*20)</f>
        <v>0</v>
      </c>
      <c r="AD68" s="137"/>
      <c r="AE68" s="246">
        <f>TblMili[[#This Row],[Hour]]</f>
        <v>65</v>
      </c>
      <c r="AF68" s="138">
        <f ca="1">TblExplore[[#This Row],[Time]]</f>
        <v>45817.666666666511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180183</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45817.666666666511</v>
      </c>
      <c r="AW68" s="94">
        <f ca="1">TblMili[[#This Row],[Draftees]]</f>
        <v>524</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Demonic Pact]]&gt;0,MIN(TblMili[[#This Row],[Unit 1]],TblMili[[#This Row],[Unit 4]])*demonic_pact_oppair,0)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0.80000000000000071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526</v>
      </c>
      <c r="C69" s="157">
        <f ca="1">TblPop[[#This Row],[Military%]]</f>
        <v>0.68400520156046818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526</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526</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526</v>
      </c>
      <c r="AB69" s="154"/>
      <c r="AC69" s="180">
        <f ca="1">(TblConstr[[#This Row],[Tot Smi]]+TblConstr[[#This Row],[Dest Smi]])/(TblConstr[[#This Row],[Land]]-TblExplore[[#This Row],[Land Bonus]]*20)</f>
        <v>0</v>
      </c>
      <c r="AD69" s="137"/>
      <c r="AE69" s="246">
        <f>TblMili[[#This Row],[Hour]]</f>
        <v>66</v>
      </c>
      <c r="AF69" s="138">
        <f ca="1">TblExplore[[#This Row],[Time]]</f>
        <v>45817.708333333176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180844</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45817.708333333176</v>
      </c>
      <c r="AW69" s="94">
        <f ca="1">TblMili[[#This Row],[Draftees]]</f>
        <v>526</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Demonic Pact]]&gt;0,MIN(TblMili[[#This Row],[Unit 1]],TblMili[[#This Row],[Unit 4]])*demonic_pact_oppair,0)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0.80000000000000071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528</v>
      </c>
      <c r="C70" s="157">
        <f ca="1">TblPop[[#This Row],[Military%]]</f>
        <v>0.68660598179453836</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528</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528</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70" s="154"/>
      <c r="AC70" s="180">
        <f ca="1">(TblConstr[[#This Row],[Tot Smi]]+TblConstr[[#This Row],[Dest Smi]])/(TblConstr[[#This Row],[Land]]-TblExplore[[#This Row],[Land Bonus]]*20)</f>
        <v>0</v>
      </c>
      <c r="AD70" s="137"/>
      <c r="AE70" s="246">
        <f>TblMili[[#This Row],[Hour]]</f>
        <v>67</v>
      </c>
      <c r="AF70" s="138">
        <f ca="1">TblExplore[[#This Row],[Time]]</f>
        <v>45817.74999999984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181500</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45817.74999999984</v>
      </c>
      <c r="AW70" s="94">
        <f ca="1">TblMili[[#This Row],[Draftees]]</f>
        <v>528</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Demonic Pact]]&gt;0,MIN(TblMili[[#This Row],[Unit 1]],TblMili[[#This Row],[Unit 4]])*demonic_pact_oppair,0)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0.80000000000000071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530</v>
      </c>
      <c r="C71" s="157">
        <f ca="1">TblPop[[#This Row],[Military%]]</f>
        <v>0.68920676202860853</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530</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530</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530</v>
      </c>
      <c r="AB71" s="154"/>
      <c r="AC71" s="180">
        <f ca="1">(TblConstr[[#This Row],[Tot Smi]]+TblConstr[[#This Row],[Dest Smi]])/(TblConstr[[#This Row],[Land]]-TblExplore[[#This Row],[Land Bonus]]*20)</f>
        <v>0</v>
      </c>
      <c r="AD71" s="137"/>
      <c r="AE71" s="246">
        <f>TblMili[[#This Row],[Hour]]</f>
        <v>68</v>
      </c>
      <c r="AF71" s="138">
        <f ca="1">TblExplore[[#This Row],[Time]]</f>
        <v>45817.791666666504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182150</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45817.791666666504</v>
      </c>
      <c r="AW71" s="94">
        <f ca="1">TblMili[[#This Row],[Draftees]]</f>
        <v>530</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Demonic Pact]]&gt;0,MIN(TblMili[[#This Row],[Unit 1]],TblMili[[#This Row],[Unit 4]])*demonic_pact_oppair,0)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0.80000000000000071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532</v>
      </c>
      <c r="C72" s="157">
        <f ca="1">TblPop[[#This Row],[Military%]]</f>
        <v>0.69180754226267882</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532</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532</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532</v>
      </c>
      <c r="AB72" s="154"/>
      <c r="AC72" s="180">
        <f ca="1">(TblConstr[[#This Row],[Tot Smi]]+TblConstr[[#This Row],[Dest Smi]])/(TblConstr[[#This Row],[Land]]-TblExplore[[#This Row],[Land Bonus]]*20)</f>
        <v>0</v>
      </c>
      <c r="AD72" s="137"/>
      <c r="AE72" s="246">
        <f>TblMili[[#This Row],[Hour]]</f>
        <v>69</v>
      </c>
      <c r="AF72" s="138">
        <f ca="1">TblExplore[[#This Row],[Time]]</f>
        <v>45817.833333333168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182795</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45817.833333333168</v>
      </c>
      <c r="AW72" s="94">
        <f ca="1">TblMili[[#This Row],[Draftees]]</f>
        <v>532</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Demonic Pact]]&gt;0,MIN(TblMili[[#This Row],[Unit 1]],TblMili[[#This Row],[Unit 4]])*demonic_pact_oppair,0)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0.80000000000000071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534</v>
      </c>
      <c r="C73" s="157">
        <f ca="1">TblPop[[#This Row],[Military%]]</f>
        <v>0.694408322496749</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534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534</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73" s="154"/>
      <c r="AC73" s="180">
        <f ca="1">(TblConstr[[#This Row],[Tot Smi]]+TblConstr[[#This Row],[Dest Smi]])/(TblConstr[[#This Row],[Land]]-TblExplore[[#This Row],[Land Bonus]]*20)</f>
        <v>0</v>
      </c>
      <c r="AD73" s="137"/>
      <c r="AE73" s="246">
        <f>TblMili[[#This Row],[Hour]]</f>
        <v>70</v>
      </c>
      <c r="AF73" s="138">
        <f ca="1">TblExplore[[#This Row],[Time]]</f>
        <v>45817.874999999833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183434</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45817.874999999833</v>
      </c>
      <c r="AW73" s="94">
        <f ca="1">TblMili[[#This Row],[Draftees]]</f>
        <v>534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Demonic Pact]]&gt;0,MIN(TblMili[[#This Row],[Unit 1]],TblMili[[#This Row],[Unit 4]])*demonic_pact_oppair,0)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0.80000000000000071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536</v>
      </c>
      <c r="C74" s="157">
        <f ca="1">TblPop[[#This Row],[Military%]]</f>
        <v>0.69700910273081929</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536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536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536</v>
      </c>
      <c r="AB74" s="154"/>
      <c r="AC74" s="180">
        <f ca="1">(TblConstr[[#This Row],[Tot Smi]]+TblConstr[[#This Row],[Dest Smi]])/(TblConstr[[#This Row],[Land]]-TblExplore[[#This Row],[Land Bonus]]*20)</f>
        <v>0</v>
      </c>
      <c r="AD74" s="137"/>
      <c r="AE74" s="246">
        <f>TblMili[[#This Row],[Hour]]</f>
        <v>71</v>
      </c>
      <c r="AF74" s="138">
        <f ca="1">TblExplore[[#This Row],[Time]]</f>
        <v>45817.916666666497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184068</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45817.916666666497</v>
      </c>
      <c r="AW74" s="94">
        <f ca="1">TblMili[[#This Row],[Draftees]]</f>
        <v>536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Demonic Pact]]&gt;0,MIN(TblMili[[#This Row],[Unit 1]],TblMili[[#This Row],[Unit 4]])*demonic_pact_oppair,0)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0.80000000000000071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538</v>
      </c>
      <c r="C75" s="157">
        <f ca="1">TblPop[[#This Row],[Military%]]</f>
        <v>0.69960988296488946</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538</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538</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538</v>
      </c>
      <c r="AB75" s="154"/>
      <c r="AC75" s="180">
        <f ca="1">(TblConstr[[#This Row],[Tot Smi]]+TblConstr[[#This Row],[Dest Smi]])/(TblConstr[[#This Row],[Land]]-TblExplore[[#This Row],[Land Bonus]]*20)</f>
        <v>0</v>
      </c>
      <c r="AD75" s="137"/>
      <c r="AE75" s="246">
        <f>TblMili[[#This Row],[Hour]]</f>
        <v>72</v>
      </c>
      <c r="AF75" s="138">
        <f ca="1">TblExplore[[#This Row],[Time]]</f>
        <v>45817.958333333161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184697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45817.958333333161</v>
      </c>
      <c r="AW75" s="94">
        <f ca="1">TblMili[[#This Row],[Draftees]]</f>
        <v>538</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Demonic Pact]]&gt;0,MIN(TblMili[[#This Row],[Unit 1]],TblMili[[#This Row],[Unit 4]])*demonic_pact_oppair,0)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0.80000000000000071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540</v>
      </c>
      <c r="C76" s="442">
        <f ca="1">TblPop[[#This Row],[Military%]]</f>
        <v>0.70221066319895964</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1250</v>
      </c>
      <c r="O76" s="142"/>
      <c r="P76" s="443">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44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3">
        <f ca="1">TblMili[[#This Row],[Raw]]*(1+TblMili[[#This Row],[Mods_Off]])</f>
        <v>0</v>
      </c>
      <c r="S76" s="44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3">
        <f ca="1">TblMili[[#This Row],[Non Draft]]+TblMili[[#This Row],[Draftees]]</f>
        <v>540</v>
      </c>
      <c r="U76" s="444">
        <f ca="1">race_defense + TblImps[[#This Row],[Walls]] + ROUND( MIN(gt_bonus*TblConstr[[#This Row],[Tot GT]]/TblConstr[[#This Row],[Land]],gt_bonus_cap), 4) + IF(TblMagic[[#This Row],[Active Howling]]&gt;0,howling_dp_bonus,IF(TblMagic[[#This Row],[Active Ares Call]]&gt;0,ares_call_bonus))</f>
        <v>0</v>
      </c>
      <c r="V76" s="445">
        <f ca="1">TblMili[[#This Row],[Non Draft]] * (1 + TblMili[[#This Row],[Mods_Def]])</f>
        <v>0</v>
      </c>
      <c r="W76" s="443">
        <f ca="1">TblMili[[#This Row],[Draft]] * (1 + TblMili[[#This Row],[Mods_Def]])</f>
        <v>540</v>
      </c>
      <c r="X76" s="443">
        <f ca="1">TblConstr[[#This Row],[Land]]</f>
        <v>50</v>
      </c>
      <c r="Y76" s="250"/>
      <c r="Z76" s="446">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540</v>
      </c>
      <c r="AB76" s="154"/>
      <c r="AC76" s="429">
        <f ca="1">(TblConstr[[#This Row],[Tot Smi]]+TblConstr[[#This Row],[Dest Smi]])/(TblConstr[[#This Row],[Land]]-TblExplore[[#This Row],[Land Bonus]]*20)</f>
        <v>0</v>
      </c>
      <c r="AD76" s="137"/>
      <c r="AE76" s="246">
        <f>TblMili[[#This Row],[Hour]]</f>
        <v>73</v>
      </c>
      <c r="AF76" s="138">
        <f ca="1">TblExplore[[#This Row],[Time]]</f>
        <v>45817.999999999825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185320</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45817.999999999825</v>
      </c>
      <c r="AW76" s="430">
        <f ca="1">TblMili[[#This Row],[Draftees]]</f>
        <v>540</v>
      </c>
      <c r="AX76" s="158"/>
      <c r="AY76" s="179"/>
      <c r="AZ76" s="179"/>
      <c r="BA76" s="179"/>
      <c r="BB76" s="179"/>
      <c r="BC76" s="179"/>
      <c r="BD76" s="179"/>
      <c r="BE76" s="179"/>
      <c r="BF76" s="179"/>
      <c r="BG76" s="142"/>
      <c r="BH76" s="442">
        <f ca="1">TblConstr[[#This Row],[Tot WG]]/TblConstr[[#This Row],[Land]]</f>
        <v>0</v>
      </c>
      <c r="BI76" s="442">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2">
        <f ca="1">TblConstr[[#This Row],[Homeland]]/TblConstr[[#This Row],[Land]]</f>
        <v>0.6</v>
      </c>
      <c r="BX76" s="442">
        <f ca="1">TblMili[[#This Row],[WG''s]]</f>
        <v>0</v>
      </c>
      <c r="BY76" s="447">
        <f ca="1">IF(mystic_cap="none",TblMili[[#This Row],[Homeland%]]/mystic_bonus,MIN(mystic_cap,TblMili[[#This Row],[Homeland%]]/mystic_bonus))</f>
        <v>2</v>
      </c>
      <c r="BZ76" s="447">
        <f ca="1">IF(druid_op_cap="none",TblMili[[#This Row],[Homeland%]]/druid_op_bonus,MIN(druid_op_cap,TblMili[[#This Row],[Homeland%]]/druid_op_bonus))</f>
        <v>2</v>
      </c>
      <c r="CA76" s="447">
        <f ca="1">IF(druid_dp_cap="none",TblMili[[#This Row],[Homeland%]]/druid_dp_bonus,MIN(druid_dp_cap,TblMili[[#This Row],[Homeland%]]/druid_dp_bonus))</f>
        <v>2</v>
      </c>
      <c r="CB76" s="447">
        <f ca="1">MIN(dryad_cap,TblMili[[#This Row],[Homeland%]]/dryad_bonus)</f>
        <v>2.9999999999999996</v>
      </c>
      <c r="CC76" s="447">
        <f ca="1">MIN(rocka_cap,TblMili[[#This Row],[Homeland%]]/rocka_bonus)</f>
        <v>2</v>
      </c>
      <c r="CD76" s="447">
        <f ca="1">MIN(adept_op_cap,TblMili[[#This Row],[WG]]/adept_op_bonus)</f>
        <v>0</v>
      </c>
      <c r="CE76" s="447">
        <f ca="1">MIN(adept_dp_cap,TblMili[[#This Row],[WG]]/adept_dp_bonus)</f>
        <v>0</v>
      </c>
      <c r="CF76" s="430">
        <f ca="1">MIN(TblMili[[#This Row],[Unit 3]],TblMili[[#This Row],[Unit 2]])*2</f>
        <v>0</v>
      </c>
      <c r="CG76" s="430">
        <f ca="1">MIN(TblMili[[#This Row],[Unit 1]],TblMili[[#This Row],[Unit 4]])*2</f>
        <v>0</v>
      </c>
      <c r="CH76" s="447">
        <f ca="1">MIN(frost_mage_cap,TblMili[[#This Row],[Homeland%]]/frost_mage_bonus)</f>
        <v>2.9999999999999996</v>
      </c>
      <c r="CI76" s="433">
        <f ca="1">MIN(ice_elem_cap,TblMili[[#This Row],[Raw (2)]]*ice_elem_bonus)</f>
        <v>0</v>
      </c>
      <c r="CJ76" s="447">
        <f t="shared" si="3"/>
        <v>0.83333333333333337</v>
      </c>
      <c r="CK76" s="447">
        <f ca="1">MIN(nox_nightshade_cap,TblConstr[[#This Row],[Homeland]]/TblConstr[[#This Row],[Land]]/nox_nightshade_swamp_bonus)</f>
        <v>4</v>
      </c>
      <c r="CL76" s="447">
        <f ca="1">MIN(TblConstr[[#This Row],[Total Swamp]]/TblConstr[[#This Row],[Land]]/abyss_enforce_bonus,abyss_enforcer_cap)</f>
        <v>0</v>
      </c>
      <c r="CM76" s="447">
        <f ca="1">IF(TblMagic[[#This Row],[Active Demonic Pact]]&gt;0,MIN(TblMili[[#This Row],[Unit 1]],TblMili[[#This Row],[Unit 4]])*demonic_pact_oppair,0)</f>
        <v>0</v>
      </c>
      <c r="CN76" s="252"/>
      <c r="CO76" s="252"/>
      <c r="CP76" s="252"/>
      <c r="CQ76" s="447">
        <f ca="1">MIN(6,TblMili[[#This Row],[Mystic]]+Races!$F$19)*1.8 +  IF(TblMili[[#This Row],[Mystic]]+Races!$F$19&gt;6,(TblMili[[#This Row],[Mystic]]+Races!$F$19-6)*0.2,0) - Races!$I$19</f>
        <v>1</v>
      </c>
      <c r="CR76" s="447">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8">
        <f ca="1">MIN(6,TblMili[[#This Row],[Dryad]]+Races!$F$35)*1.8 +  IF(TblMili[[#This Row],[Dryad]]+Races!$F$35&gt;6,(TblMili[[#This Row],[Dryad]]+Races!$F$35-6)*0.2,0) - Races!$I$19</f>
        <v>0.80000000000000071</v>
      </c>
      <c r="CU76" s="430">
        <f ca="1">sylvan*(TblMili[[#This Row],[Mystic bonus]]*TblMili[[#This Row],[Unit 3]])</f>
        <v>0</v>
      </c>
      <c r="CV76" s="448">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8">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8">
        <f ca="1">1.8 * MIN(MAX(TblMili[[#This Row],[Frost Mage]]+Races!$F$71,Races!$E$71),6)  +  0.45 * MIN(MIN(TblMili[[#This Row],[Frost Mage]]+Races!$F$71,Races!$E$71),6)  +  0.2 * ( MAX(TblMili[[#This Row],[Frost Mage]]+Races!$F$71-6,0) + MAX(Races!$E$71-6,0) )  -  Races!$I$71</f>
        <v>6.15</v>
      </c>
      <c r="DA76" s="448">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9">
        <f ca="1">(TblMili[[#This Row],[Wizards]]+2*TblMili[[#This Row],[Archmages]])/TblConstr[[#This Row],[Land]]</f>
        <v>0</v>
      </c>
      <c r="DI76" s="449">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542</v>
      </c>
      <c r="C77" s="157">
        <f ca="1">TblPop[[#This Row],[Military%]]</f>
        <v>0.70481144343302993</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542</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542</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542</v>
      </c>
      <c r="AB77" s="154"/>
      <c r="AC77" s="180">
        <f ca="1">(TblConstr[[#This Row],[Tot Smi]]+TblConstr[[#This Row],[Dest Smi]])/(TblConstr[[#This Row],[Land]]-TblExplore[[#This Row],[Land Bonus]]*20)</f>
        <v>0</v>
      </c>
      <c r="AD77" s="137"/>
      <c r="AE77" s="246">
        <f>TblMili[[#This Row],[Hour]]</f>
        <v>74</v>
      </c>
      <c r="AF77" s="138">
        <f ca="1">TblExplore[[#This Row],[Time]]</f>
        <v>45818.04166666649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185938</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45818.04166666649</v>
      </c>
      <c r="AW77" s="94">
        <f ca="1">TblMili[[#This Row],[Draftees]]</f>
        <v>542</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Demonic Pact]]&gt;0,MIN(TblMili[[#This Row],[Unit 1]],TblMili[[#This Row],[Unit 4]])*demonic_pact_oppair,0)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0.80000000000000071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544</v>
      </c>
      <c r="C78" s="157">
        <f ca="1">TblPop[[#This Row],[Military%]]</f>
        <v>0.7074122236671001</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544</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544</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78" s="154"/>
      <c r="AC78" s="180">
        <f ca="1">(TblConstr[[#This Row],[Tot Smi]]+TblConstr[[#This Row],[Dest Smi]])/(TblConstr[[#This Row],[Land]]-TblExplore[[#This Row],[Land Bonus]]*20)</f>
        <v>0</v>
      </c>
      <c r="AD78" s="137"/>
      <c r="AE78" s="246">
        <f>TblMili[[#This Row],[Hour]]</f>
        <v>75</v>
      </c>
      <c r="AF78" s="138">
        <f ca="1">TblExplore[[#This Row],[Time]]</f>
        <v>45818.083333333154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186550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45818.083333333154</v>
      </c>
      <c r="AW78" s="94">
        <f ca="1">TblMili[[#This Row],[Draftees]]</f>
        <v>544</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Demonic Pact]]&gt;0,MIN(TblMili[[#This Row],[Unit 1]],TblMili[[#This Row],[Unit 4]])*demonic_pact_oppair,0)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0.80000000000000071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546</v>
      </c>
      <c r="C79" s="157">
        <f ca="1">TblPop[[#This Row],[Military%]]</f>
        <v>0.71001300390117039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546</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546</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79" s="154"/>
      <c r="AC79" s="180">
        <f ca="1">(TblConstr[[#This Row],[Tot Smi]]+TblConstr[[#This Row],[Dest Smi]])/(TblConstr[[#This Row],[Land]]-TblExplore[[#This Row],[Land Bonus]]*20)</f>
        <v>0</v>
      </c>
      <c r="AD79" s="137"/>
      <c r="AE79" s="246">
        <f>TblMili[[#This Row],[Hour]]</f>
        <v>76</v>
      </c>
      <c r="AF79" s="138">
        <f ca="1">TblExplore[[#This Row],[Time]]</f>
        <v>45818.124999999818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187157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45818.124999999818</v>
      </c>
      <c r="AW79" s="94">
        <f ca="1">TblMili[[#This Row],[Draftees]]</f>
        <v>546</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Demonic Pact]]&gt;0,MIN(TblMili[[#This Row],[Unit 1]],TblMili[[#This Row],[Unit 4]])*demonic_pact_oppair,0)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0.80000000000000071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548</v>
      </c>
      <c r="C80" s="157">
        <f ca="1">TblPop[[#This Row],[Military%]]</f>
        <v>0.71261378413524057</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548</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548</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548</v>
      </c>
      <c r="AB80" s="154"/>
      <c r="AC80" s="180">
        <f ca="1">(TblConstr[[#This Row],[Tot Smi]]+TblConstr[[#This Row],[Dest Smi]])/(TblConstr[[#This Row],[Land]]-TblExplore[[#This Row],[Land Bonus]]*20)</f>
        <v>0</v>
      </c>
      <c r="AD80" s="137"/>
      <c r="AE80" s="246">
        <f>TblMili[[#This Row],[Hour]]</f>
        <v>77</v>
      </c>
      <c r="AF80" s="138">
        <f ca="1">TblExplore[[#This Row],[Time]]</f>
        <v>45818.166666666482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187759</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45818.166666666482</v>
      </c>
      <c r="AW80" s="94">
        <f ca="1">TblMili[[#This Row],[Draftees]]</f>
        <v>548</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Demonic Pact]]&gt;0,MIN(TblMili[[#This Row],[Unit 1]],TblMili[[#This Row],[Unit 4]])*demonic_pact_oppair,0)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0.80000000000000071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550</v>
      </c>
      <c r="C81" s="157">
        <f ca="1">TblPop[[#This Row],[Military%]]</f>
        <v>0.71521456436931075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550</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550</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550</v>
      </c>
      <c r="AB81" s="154"/>
      <c r="AC81" s="180">
        <f ca="1">(TblConstr[[#This Row],[Tot Smi]]+TblConstr[[#This Row],[Dest Smi]])/(TblConstr[[#This Row],[Land]]-TblExplore[[#This Row],[Land Bonus]]*20)</f>
        <v>0</v>
      </c>
      <c r="AD81" s="137"/>
      <c r="AE81" s="246">
        <f>TblMili[[#This Row],[Hour]]</f>
        <v>78</v>
      </c>
      <c r="AF81" s="138">
        <f ca="1">TblExplore[[#This Row],[Time]]</f>
        <v>45818.208333333147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188355</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45818.208333333147</v>
      </c>
      <c r="AW81" s="94">
        <f ca="1">TblMili[[#This Row],[Draftees]]</f>
        <v>550</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Demonic Pact]]&gt;0,MIN(TblMili[[#This Row],[Unit 1]],TblMili[[#This Row],[Unit 4]])*demonic_pact_oppair,0)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0.80000000000000071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552</v>
      </c>
      <c r="C82" s="157">
        <f ca="1">TblPop[[#This Row],[Military%]]</f>
        <v>0.71781534460338103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552</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552</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552</v>
      </c>
      <c r="AB82" s="154"/>
      <c r="AC82" s="180">
        <f ca="1">(TblConstr[[#This Row],[Tot Smi]]+TblConstr[[#This Row],[Dest Smi]])/(TblConstr[[#This Row],[Land]]-TblExplore[[#This Row],[Land Bonus]]*20)</f>
        <v>0</v>
      </c>
      <c r="AD82" s="137"/>
      <c r="AE82" s="246">
        <f>TblMili[[#This Row],[Hour]]</f>
        <v>79</v>
      </c>
      <c r="AF82" s="138">
        <f ca="1">TblExplore[[#This Row],[Time]]</f>
        <v>45818.249999999811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188946</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45818.249999999811</v>
      </c>
      <c r="AW82" s="94">
        <f ca="1">TblMili[[#This Row],[Draftees]]</f>
        <v>552</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Demonic Pact]]&gt;0,MIN(TblMili[[#This Row],[Unit 1]],TblMili[[#This Row],[Unit 4]])*demonic_pact_oppair,0)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0.80000000000000071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554</v>
      </c>
      <c r="C83" s="157">
        <f ca="1">TblPop[[#This Row],[Military%]]</f>
        <v>0.72041612483745121</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554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554</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83" s="154"/>
      <c r="AC83" s="180">
        <f ca="1">(TblConstr[[#This Row],[Tot Smi]]+TblConstr[[#This Row],[Dest Smi]])/(TblConstr[[#This Row],[Land]]-TblExplore[[#This Row],[Land Bonus]]*20)</f>
        <v>0</v>
      </c>
      <c r="AD83" s="137"/>
      <c r="AE83" s="246">
        <f>TblMili[[#This Row],[Hour]]</f>
        <v>80</v>
      </c>
      <c r="AF83" s="138">
        <f ca="1">TblExplore[[#This Row],[Time]]</f>
        <v>45818.291666666475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189531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45818.291666666475</v>
      </c>
      <c r="AW83" s="94">
        <f ca="1">TblMili[[#This Row],[Draftees]]</f>
        <v>554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Demonic Pact]]&gt;0,MIN(TblMili[[#This Row],[Unit 1]],TblMili[[#This Row],[Unit 4]])*demonic_pact_oppair,0)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0.80000000000000071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556</v>
      </c>
      <c r="C84" s="157">
        <f ca="1">TblPop[[#This Row],[Military%]]</f>
        <v>0.7230169050715215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556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556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556</v>
      </c>
      <c r="AB84" s="154"/>
      <c r="AC84" s="180">
        <f ca="1">(TblConstr[[#This Row],[Tot Smi]]+TblConstr[[#This Row],[Dest Smi]])/(TblConstr[[#This Row],[Land]]-TblExplore[[#This Row],[Land Bonus]]*20)</f>
        <v>0</v>
      </c>
      <c r="AD84" s="137"/>
      <c r="AE84" s="246">
        <f>TblMili[[#This Row],[Hour]]</f>
        <v>81</v>
      </c>
      <c r="AF84" s="138">
        <f ca="1">TblExplore[[#This Row],[Time]]</f>
        <v>45818.333333333139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190111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45818.333333333139</v>
      </c>
      <c r="AW84" s="94">
        <f ca="1">TblMili[[#This Row],[Draftees]]</f>
        <v>556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Demonic Pact]]&gt;0,MIN(TblMili[[#This Row],[Unit 1]],TblMili[[#This Row],[Unit 4]])*demonic_pact_oppair,0)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0.80000000000000071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558</v>
      </c>
      <c r="C85" s="157">
        <f ca="1">TblPop[[#This Row],[Military%]]</f>
        <v>0.72561768530559168</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558</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558</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558</v>
      </c>
      <c r="AB85" s="154"/>
      <c r="AC85" s="180">
        <f ca="1">(TblConstr[[#This Row],[Tot Smi]]+TblConstr[[#This Row],[Dest Smi]])/(TblConstr[[#This Row],[Land]]-TblExplore[[#This Row],[Land Bonus]]*20)</f>
        <v>0</v>
      </c>
      <c r="AD85" s="137"/>
      <c r="AE85" s="246">
        <f>TblMili[[#This Row],[Hour]]</f>
        <v>82</v>
      </c>
      <c r="AF85" s="138">
        <f ca="1">TblExplore[[#This Row],[Time]]</f>
        <v>45818.374999999804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190686</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45818.374999999804</v>
      </c>
      <c r="AW85" s="94">
        <f ca="1">TblMili[[#This Row],[Draftees]]</f>
        <v>558</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Demonic Pact]]&gt;0,MIN(TblMili[[#This Row],[Unit 1]],TblMili[[#This Row],[Unit 4]])*demonic_pact_oppair,0)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0.80000000000000071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560</v>
      </c>
      <c r="C86" s="157">
        <f ca="1">TblPop[[#This Row],[Military%]]</f>
        <v>0.72821846553966185</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560</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560</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560</v>
      </c>
      <c r="AB86" s="154"/>
      <c r="AC86" s="180">
        <f ca="1">(TblConstr[[#This Row],[Tot Smi]]+TblConstr[[#This Row],[Dest Smi]])/(TblConstr[[#This Row],[Land]]-TblExplore[[#This Row],[Land Bonus]]*20)</f>
        <v>0</v>
      </c>
      <c r="AD86" s="137"/>
      <c r="AE86" s="246">
        <f>TblMili[[#This Row],[Hour]]</f>
        <v>83</v>
      </c>
      <c r="AF86" s="138">
        <f ca="1">TblExplore[[#This Row],[Time]]</f>
        <v>45818.416666666468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191255</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45818.416666666468</v>
      </c>
      <c r="AW86" s="94">
        <f ca="1">TblMili[[#This Row],[Draftees]]</f>
        <v>560</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Demonic Pact]]&gt;0,MIN(TblMili[[#This Row],[Unit 1]],TblMili[[#This Row],[Unit 4]])*demonic_pact_oppair,0)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0.80000000000000071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562</v>
      </c>
      <c r="C87" s="157">
        <f ca="1">TblPop[[#This Row],[Military%]]</f>
        <v>0.73081924577373214</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562</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562</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562</v>
      </c>
      <c r="AB87" s="154"/>
      <c r="AC87" s="180">
        <f ca="1">(TblConstr[[#This Row],[Tot Smi]]+TblConstr[[#This Row],[Dest Smi]])/(TblConstr[[#This Row],[Land]]-TblExplore[[#This Row],[Land Bonus]]*20)</f>
        <v>0</v>
      </c>
      <c r="AD87" s="137"/>
      <c r="AE87" s="246">
        <f>TblMili[[#This Row],[Hour]]</f>
        <v>84</v>
      </c>
      <c r="AF87" s="138">
        <f ca="1">TblExplore[[#This Row],[Time]]</f>
        <v>45818.458333333132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191819</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45818.458333333132</v>
      </c>
      <c r="AW87" s="94">
        <f ca="1">TblMili[[#This Row],[Draftees]]</f>
        <v>562</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Demonic Pact]]&gt;0,MIN(TblMili[[#This Row],[Unit 1]],TblMili[[#This Row],[Unit 4]])*demonic_pact_oppair,0)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0.80000000000000071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564</v>
      </c>
      <c r="C88" s="157">
        <f ca="1">TblPop[[#This Row],[Military%]]</f>
        <v>0.73342002600780232</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564</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564</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88" s="154"/>
      <c r="AC88" s="180">
        <f ca="1">(TblConstr[[#This Row],[Tot Smi]]+TblConstr[[#This Row],[Dest Smi]])/(TblConstr[[#This Row],[Land]]-TblExplore[[#This Row],[Land Bonus]]*20)</f>
        <v>0</v>
      </c>
      <c r="AD88" s="246"/>
      <c r="AE88" s="246">
        <f>TblMili[[#This Row],[Hour]]</f>
        <v>85</v>
      </c>
      <c r="AF88" s="138">
        <f ca="1">TblExplore[[#This Row],[Time]]</f>
        <v>45818.499999999796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192377</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45818.499999999796</v>
      </c>
      <c r="AW88" s="94">
        <f ca="1">TblMili[[#This Row],[Draftees]]</f>
        <v>564</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Demonic Pact]]&gt;0,MIN(TblMili[[#This Row],[Unit 1]],TblMili[[#This Row],[Unit 4]])*demonic_pact_oppair,0)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0.80000000000000071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566</v>
      </c>
      <c r="C89" s="157">
        <f ca="1">TblPop[[#This Row],[Military%]]</f>
        <v>0.7360208062418726</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566</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566</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566</v>
      </c>
      <c r="AB89" s="154"/>
      <c r="AC89" s="180">
        <f ca="1">(TblConstr[[#This Row],[Tot Smi]]+TblConstr[[#This Row],[Dest Smi]])/(TblConstr[[#This Row],[Land]]-TblExplore[[#This Row],[Land Bonus]]*20)</f>
        <v>0</v>
      </c>
      <c r="AD89" s="137"/>
      <c r="AE89" s="246">
        <f>TblMili[[#This Row],[Hour]]</f>
        <v>86</v>
      </c>
      <c r="AF89" s="138">
        <f ca="1">TblExplore[[#This Row],[Time]]</f>
        <v>45818.541666666461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192930</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45818.541666666461</v>
      </c>
      <c r="AW89" s="94">
        <f ca="1">TblMili[[#This Row],[Draftees]]</f>
        <v>566</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Demonic Pact]]&gt;0,MIN(TblMili[[#This Row],[Unit 1]],TblMili[[#This Row],[Unit 4]])*demonic_pact_oppair,0)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0.80000000000000071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568</v>
      </c>
      <c r="C90" s="157">
        <f ca="1">TblPop[[#This Row],[Military%]]</f>
        <v>0.73862158647594278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568</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568</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568</v>
      </c>
      <c r="AB90" s="154"/>
      <c r="AC90" s="180">
        <f ca="1">(TblConstr[[#This Row],[Tot Smi]]+TblConstr[[#This Row],[Dest Smi]])/(TblConstr[[#This Row],[Land]]-TblExplore[[#This Row],[Land Bonus]]*20)</f>
        <v>0</v>
      </c>
      <c r="AD90" s="137"/>
      <c r="AE90" s="246">
        <f>TblMili[[#This Row],[Hour]]</f>
        <v>87</v>
      </c>
      <c r="AF90" s="138">
        <f ca="1">TblExplore[[#This Row],[Time]]</f>
        <v>45818.583333333125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193478</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45818.583333333125</v>
      </c>
      <c r="AW90" s="94">
        <f ca="1">TblMili[[#This Row],[Draftees]]</f>
        <v>568</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Demonic Pact]]&gt;0,MIN(TblMili[[#This Row],[Unit 1]],TblMili[[#This Row],[Unit 4]])*demonic_pact_oppair,0)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0.80000000000000071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570</v>
      </c>
      <c r="C91" s="157">
        <f ca="1">TblPop[[#This Row],[Military%]]</f>
        <v>0.74122236671001296</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570</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570</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570</v>
      </c>
      <c r="AB91" s="154"/>
      <c r="AC91" s="180">
        <f ca="1">(TblConstr[[#This Row],[Tot Smi]]+TblConstr[[#This Row],[Dest Smi]])/(TblConstr[[#This Row],[Land]]-TblExplore[[#This Row],[Land Bonus]]*20)</f>
        <v>0</v>
      </c>
      <c r="AD91" s="137"/>
      <c r="AE91" s="246">
        <f>TblMili[[#This Row],[Hour]]</f>
        <v>88</v>
      </c>
      <c r="AF91" s="138">
        <f ca="1">TblExplore[[#This Row],[Time]]</f>
        <v>45818.624999999789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194020</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45818.624999999789</v>
      </c>
      <c r="AW91" s="94">
        <f ca="1">TblMili[[#This Row],[Draftees]]</f>
        <v>570</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Demonic Pact]]&gt;0,MIN(TblMili[[#This Row],[Unit 1]],TblMili[[#This Row],[Unit 4]])*demonic_pact_oppair,0)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0.80000000000000071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572</v>
      </c>
      <c r="C92" s="157">
        <f ca="1">TblPop[[#This Row],[Military%]]</f>
        <v>0.74382314694408325</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572</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572</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572</v>
      </c>
      <c r="AB92" s="154"/>
      <c r="AC92" s="180">
        <f ca="1">(TblConstr[[#This Row],[Tot Smi]]+TblConstr[[#This Row],[Dest Smi]])/(TblConstr[[#This Row],[Land]]-TblExplore[[#This Row],[Land Bonus]]*20)</f>
        <v>0</v>
      </c>
      <c r="AD92" s="137"/>
      <c r="AE92" s="246">
        <f>TblMili[[#This Row],[Hour]]</f>
        <v>89</v>
      </c>
      <c r="AF92" s="138">
        <f ca="1">TblExplore[[#This Row],[Time]]</f>
        <v>45818.666666666453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194557</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45818.666666666453</v>
      </c>
      <c r="AW92" s="94">
        <f ca="1">TblMili[[#This Row],[Draftees]]</f>
        <v>572</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Demonic Pact]]&gt;0,MIN(TblMili[[#This Row],[Unit 1]],TblMili[[#This Row],[Unit 4]])*demonic_pact_oppair,0)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0.80000000000000071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574</v>
      </c>
      <c r="C93" s="157">
        <f ca="1">TblPop[[#This Row],[Military%]]</f>
        <v>0.74642392717815342</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574</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574</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93" s="154"/>
      <c r="AC93" s="180">
        <f ca="1">(TblConstr[[#This Row],[Tot Smi]]+TblConstr[[#This Row],[Dest Smi]])/(TblConstr[[#This Row],[Land]]-TblExplore[[#This Row],[Land Bonus]]*20)</f>
        <v>0</v>
      </c>
      <c r="AD93" s="137"/>
      <c r="AE93" s="246">
        <f>TblMili[[#This Row],[Hour]]</f>
        <v>90</v>
      </c>
      <c r="AF93" s="138">
        <f ca="1">TblExplore[[#This Row],[Time]]</f>
        <v>45818.708333333117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195088</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45818.708333333117</v>
      </c>
      <c r="AW93" s="94">
        <f ca="1">TblMili[[#This Row],[Draftees]]</f>
        <v>574</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Demonic Pact]]&gt;0,MIN(TblMili[[#This Row],[Unit 1]],TblMili[[#This Row],[Unit 4]])*demonic_pact_oppair,0)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0.80000000000000071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576</v>
      </c>
      <c r="C94" s="157">
        <f ca="1">TblPop[[#This Row],[Military%]]</f>
        <v>0.74902470741222371</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576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576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576</v>
      </c>
      <c r="AB94" s="154"/>
      <c r="AC94" s="180">
        <f ca="1">(TblConstr[[#This Row],[Tot Smi]]+TblConstr[[#This Row],[Dest Smi]])/(TblConstr[[#This Row],[Land]]-TblExplore[[#This Row],[Land Bonus]]*20)</f>
        <v>0</v>
      </c>
      <c r="AD94" s="137"/>
      <c r="AE94" s="246">
        <f>TblMili[[#This Row],[Hour]]</f>
        <v>91</v>
      </c>
      <c r="AF94" s="138">
        <f ca="1">TblExplore[[#This Row],[Time]]</f>
        <v>45818.749999999782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195614</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45818.749999999782</v>
      </c>
      <c r="AW94" s="94">
        <f ca="1">TblMili[[#This Row],[Draftees]]</f>
        <v>576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Demonic Pact]]&gt;0,MIN(TblMili[[#This Row],[Unit 1]],TblMili[[#This Row],[Unit 4]])*demonic_pact_oppair,0)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0.80000000000000071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578</v>
      </c>
      <c r="C95" s="157">
        <f ca="1">TblPop[[#This Row],[Military%]]</f>
        <v>0.75162548764629389</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578</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578</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578</v>
      </c>
      <c r="AB95" s="154"/>
      <c r="AC95" s="180">
        <f ca="1">(TblConstr[[#This Row],[Tot Smi]]+TblConstr[[#This Row],[Dest Smi]])/(TblConstr[[#This Row],[Land]]-TblExplore[[#This Row],[Land Bonus]]*20)</f>
        <v>0</v>
      </c>
      <c r="AD95" s="137"/>
      <c r="AE95" s="246">
        <f>TblMili[[#This Row],[Hour]]</f>
        <v>92</v>
      </c>
      <c r="AF95" s="138">
        <f ca="1">TblExplore[[#This Row],[Time]]</f>
        <v>45818.791666666446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196135</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45818.791666666446</v>
      </c>
      <c r="AW95" s="94">
        <f ca="1">TblMili[[#This Row],[Draftees]]</f>
        <v>578</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Demonic Pact]]&gt;0,MIN(TblMili[[#This Row],[Unit 1]],TblMili[[#This Row],[Unit 4]])*demonic_pact_oppair,0)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0.80000000000000071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580</v>
      </c>
      <c r="C96" s="157">
        <f ca="1">TblPop[[#This Row],[Military%]]</f>
        <v>0.75422626788036407</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580</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580</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580</v>
      </c>
      <c r="AB96" s="154"/>
      <c r="AC96" s="180">
        <f ca="1">(TblConstr[[#This Row],[Tot Smi]]+TblConstr[[#This Row],[Dest Smi]])/(TblConstr[[#This Row],[Land]]-TblExplore[[#This Row],[Land Bonus]]*20)</f>
        <v>0</v>
      </c>
      <c r="AD96" s="137"/>
      <c r="AE96" s="246">
        <f>TblMili[[#This Row],[Hour]]</f>
        <v>93</v>
      </c>
      <c r="AF96" s="138">
        <f ca="1">TblExplore[[#This Row],[Time]]</f>
        <v>45818.83333333311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196650</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45818.83333333311</v>
      </c>
      <c r="AW96" s="94">
        <f ca="1">TblMili[[#This Row],[Draftees]]</f>
        <v>580</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Demonic Pact]]&gt;0,MIN(TblMili[[#This Row],[Unit 1]],TblMili[[#This Row],[Unit 4]])*demonic_pact_oppair,0)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0.80000000000000071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582</v>
      </c>
      <c r="C97" s="157">
        <f ca="1">TblPop[[#This Row],[Military%]]</f>
        <v>0.75682704811443435</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582</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582</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582</v>
      </c>
      <c r="AB97" s="154"/>
      <c r="AC97" s="180">
        <f ca="1">(TblConstr[[#This Row],[Tot Smi]]+TblConstr[[#This Row],[Dest Smi]])/(TblConstr[[#This Row],[Land]]-TblExplore[[#This Row],[Land Bonus]]*20)</f>
        <v>0</v>
      </c>
      <c r="AD97" s="137"/>
      <c r="AE97" s="246">
        <f>TblMili[[#This Row],[Hour]]</f>
        <v>94</v>
      </c>
      <c r="AF97" s="138">
        <f ca="1">TblExplore[[#This Row],[Time]]</f>
        <v>45818.874999999774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197160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45818.874999999774</v>
      </c>
      <c r="AW97" s="94">
        <f ca="1">TblMili[[#This Row],[Draftees]]</f>
        <v>582</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Demonic Pact]]&gt;0,MIN(TblMili[[#This Row],[Unit 1]],TblMili[[#This Row],[Unit 4]])*demonic_pact_oppair,0)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0.80000000000000071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584</v>
      </c>
      <c r="C98" s="157">
        <f ca="1">TblPop[[#This Row],[Military%]]</f>
        <v>0.75942782834850453</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584</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584</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98" s="154"/>
      <c r="AC98" s="180">
        <f ca="1">(TblConstr[[#This Row],[Tot Smi]]+TblConstr[[#This Row],[Dest Smi]])/(TblConstr[[#This Row],[Land]]-TblExplore[[#This Row],[Land Bonus]]*20)</f>
        <v>0</v>
      </c>
      <c r="AD98" s="137"/>
      <c r="AE98" s="246">
        <f>TblMili[[#This Row],[Hour]]</f>
        <v>95</v>
      </c>
      <c r="AF98" s="138">
        <f ca="1">TblExplore[[#This Row],[Time]]</f>
        <v>45818.916666666439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197664</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45818.916666666439</v>
      </c>
      <c r="AW98" s="94">
        <f ca="1">TblMili[[#This Row],[Draftees]]</f>
        <v>584</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Demonic Pact]]&gt;0,MIN(TblMili[[#This Row],[Unit 1]],TblMili[[#This Row],[Unit 4]])*demonic_pact_oppair,0)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0.80000000000000071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586</v>
      </c>
      <c r="C99" s="157">
        <f ca="1">TblPop[[#This Row],[Military%]]</f>
        <v>0.76202860858257482</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586</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586</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586</v>
      </c>
      <c r="AB99" s="154"/>
      <c r="AC99" s="180">
        <f ca="1">(TblConstr[[#This Row],[Tot Smi]]+TblConstr[[#This Row],[Dest Smi]])/(TblConstr[[#This Row],[Land]]-TblExplore[[#This Row],[Land Bonus]]*20)</f>
        <v>0</v>
      </c>
      <c r="AD99" s="137"/>
      <c r="AE99" s="246">
        <f>TblMili[[#This Row],[Hour]]</f>
        <v>96</v>
      </c>
      <c r="AF99" s="138">
        <f ca="1">TblExplore[[#This Row],[Time]]</f>
        <v>45818.958333333103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198163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45818.958333333103</v>
      </c>
      <c r="AW99" s="94">
        <f ca="1">TblMili[[#This Row],[Draftees]]</f>
        <v>586</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Demonic Pact]]&gt;0,MIN(TblMili[[#This Row],[Unit 1]],TblMili[[#This Row],[Unit 4]])*demonic_pact_oppair,0)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0.80000000000000071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588</v>
      </c>
      <c r="C100" s="157">
        <f ca="1">TblPop[[#This Row],[Military%]]</f>
        <v>0.76462938881664499</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588</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588</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588</v>
      </c>
      <c r="AB100" s="154"/>
      <c r="AC100" s="180">
        <f ca="1">(TblConstr[[#This Row],[Tot Smi]]+TblConstr[[#This Row],[Dest Smi]])/(TblConstr[[#This Row],[Land]]-TblExplore[[#This Row],[Land Bonus]]*20)</f>
        <v>0</v>
      </c>
      <c r="AD100" s="137"/>
      <c r="AE100" s="246">
        <f>TblMili[[#This Row],[Hour]]</f>
        <v>97</v>
      </c>
      <c r="AF100" s="138">
        <f ca="1">TblExplore[[#This Row],[Time]]</f>
        <v>45818.999999999767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198657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45818.999999999767</v>
      </c>
      <c r="AW100" s="94">
        <f ca="1">TblMili[[#This Row],[Draftees]]</f>
        <v>588</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Demonic Pact]]&gt;0,MIN(TblMili[[#This Row],[Unit 1]],TblMili[[#This Row],[Unit 4]])*demonic_pact_oppair,0)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0.80000000000000071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590</v>
      </c>
      <c r="C101" s="157">
        <f ca="1">TblPop[[#This Row],[Military%]]</f>
        <v>0.76723016905071517</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590</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590</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590</v>
      </c>
      <c r="AB101" s="154"/>
      <c r="AC101" s="180">
        <f ca="1">(TblConstr[[#This Row],[Tot Smi]]+TblConstr[[#This Row],[Dest Smi]])/(TblConstr[[#This Row],[Land]]-TblExplore[[#This Row],[Land Bonus]]*20)</f>
        <v>0</v>
      </c>
      <c r="AD101" s="137"/>
      <c r="AE101" s="246">
        <f>TblMili[[#This Row],[Hour]]</f>
        <v>98</v>
      </c>
      <c r="AF101" s="138">
        <f ca="1">TblExplore[[#This Row],[Time]]</f>
        <v>45819.041666666431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199145</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45819.041666666431</v>
      </c>
      <c r="AW101" s="94">
        <f ca="1">TblMili[[#This Row],[Draftees]]</f>
        <v>590</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Demonic Pact]]&gt;0,MIN(TblMili[[#This Row],[Unit 1]],TblMili[[#This Row],[Unit 4]])*demonic_pact_oppair,0)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0.80000000000000071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592</v>
      </c>
      <c r="C102" s="157">
        <f ca="1">TblPop[[#This Row],[Military%]]</f>
        <v>0.76983094928478546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592</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592</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592</v>
      </c>
      <c r="AB102" s="154"/>
      <c r="AC102" s="180">
        <f ca="1">(TblConstr[[#This Row],[Tot Smi]]+TblConstr[[#This Row],[Dest Smi]])/(TblConstr[[#This Row],[Land]]-TblExplore[[#This Row],[Land Bonus]]*20)</f>
        <v>0</v>
      </c>
      <c r="AD102" s="137"/>
      <c r="AE102" s="246">
        <f>TblMili[[#This Row],[Hour]]</f>
        <v>99</v>
      </c>
      <c r="AF102" s="138">
        <f ca="1">TblExplore[[#This Row],[Time]]</f>
        <v>45819.083333333096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199628</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45819.083333333096</v>
      </c>
      <c r="AW102" s="94">
        <f ca="1">TblMili[[#This Row],[Draftees]]</f>
        <v>592</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Demonic Pact]]&gt;0,MIN(TblMili[[#This Row],[Unit 1]],TblMili[[#This Row],[Unit 4]])*demonic_pact_oppair,0)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0.80000000000000071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594</v>
      </c>
      <c r="C103" s="157">
        <f ca="1">TblPop[[#This Row],[Military%]]</f>
        <v>0.77243172951885564</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594</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594</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103" s="154"/>
      <c r="AC103" s="180">
        <f ca="1">(TblConstr[[#This Row],[Tot Smi]]+TblConstr[[#This Row],[Dest Smi]])/(TblConstr[[#This Row],[Land]]-TblExplore[[#This Row],[Land Bonus]]*20)</f>
        <v>0</v>
      </c>
      <c r="AD103" s="137"/>
      <c r="AE103" s="246">
        <f>TblMili[[#This Row],[Hour]]</f>
        <v>100</v>
      </c>
      <c r="AF103" s="138">
        <f ca="1">TblExplore[[#This Row],[Time]]</f>
        <v>45819.12499999976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200105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45819.12499999976</v>
      </c>
      <c r="AW103" s="94">
        <f ca="1">TblMili[[#This Row],[Draftees]]</f>
        <v>594</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Demonic Pact]]&gt;0,MIN(TblMili[[#This Row],[Unit 1]],TblMili[[#This Row],[Unit 4]])*demonic_pact_oppair,0)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0.80000000000000071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596</v>
      </c>
      <c r="C104" s="157">
        <f ca="1">TblPop[[#This Row],[Military%]]</f>
        <v>0.77503250975292592</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596</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596</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596</v>
      </c>
      <c r="AB104" s="154"/>
      <c r="AC104" s="180">
        <f ca="1">(TblConstr[[#This Row],[Tot Smi]]+TblConstr[[#This Row],[Dest Smi]])/(TblConstr[[#This Row],[Land]]-TblExplore[[#This Row],[Land Bonus]]*20)</f>
        <v>0</v>
      </c>
      <c r="AD104" s="137"/>
      <c r="AE104" s="246">
        <f>TblMili[[#This Row],[Hour]]</f>
        <v>101</v>
      </c>
      <c r="AF104" s="138">
        <f ca="1">TblExplore[[#This Row],[Time]]</f>
        <v>45819.166666666424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200577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45819.166666666424</v>
      </c>
      <c r="AW104" s="94">
        <f ca="1">TblMili[[#This Row],[Draftees]]</f>
        <v>596</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Demonic Pact]]&gt;0,MIN(TblMili[[#This Row],[Unit 1]],TblMili[[#This Row],[Unit 4]])*demonic_pact_oppair,0)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0.80000000000000071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598</v>
      </c>
      <c r="C105" s="157">
        <f ca="1">TblPop[[#This Row],[Military%]]</f>
        <v>0.7776332899869961</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598</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598</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105" s="154"/>
      <c r="AC105" s="180">
        <f ca="1">(TblConstr[[#This Row],[Tot Smi]]+TblConstr[[#This Row],[Dest Smi]])/(TblConstr[[#This Row],[Land]]-TblExplore[[#This Row],[Land Bonus]]*20)</f>
        <v>0</v>
      </c>
      <c r="AD105" s="137"/>
      <c r="AE105" s="246">
        <f>TblMili[[#This Row],[Hour]]</f>
        <v>102</v>
      </c>
      <c r="AF105" s="138">
        <f ca="1">TblExplore[[#This Row],[Time]]</f>
        <v>45819.208333333088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201044</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45819.208333333088</v>
      </c>
      <c r="AW105" s="94">
        <f ca="1">TblMili[[#This Row],[Draftees]]</f>
        <v>598</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Demonic Pact]]&gt;0,MIN(TblMili[[#This Row],[Unit 1]],TblMili[[#This Row],[Unit 4]])*demonic_pact_oppair,0)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0.80000000000000071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600</v>
      </c>
      <c r="C106" s="157">
        <f ca="1">TblPop[[#This Row],[Military%]]</f>
        <v>0.78023407022106628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600</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600</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600</v>
      </c>
      <c r="AB106" s="154"/>
      <c r="AC106" s="180">
        <f ca="1">(TblConstr[[#This Row],[Tot Smi]]+TblConstr[[#This Row],[Dest Smi]])/(TblConstr[[#This Row],[Land]]-TblExplore[[#This Row],[Land Bonus]]*20)</f>
        <v>0</v>
      </c>
      <c r="AD106" s="137"/>
      <c r="AE106" s="246">
        <f>TblMili[[#This Row],[Hour]]</f>
        <v>103</v>
      </c>
      <c r="AF106" s="138">
        <f ca="1">TblExplore[[#This Row],[Time]]</f>
        <v>45819.249999999753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201505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45819.249999999753</v>
      </c>
      <c r="AW106" s="94">
        <f ca="1">TblMili[[#This Row],[Draftees]]</f>
        <v>600</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Demonic Pact]]&gt;0,MIN(TblMili[[#This Row],[Unit 1]],TblMili[[#This Row],[Unit 4]])*demonic_pact_oppair,0)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0.80000000000000071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602</v>
      </c>
      <c r="C107" s="157">
        <f ca="1">TblPop[[#This Row],[Military%]]</f>
        <v>0.78283485045513657</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602</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602</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602</v>
      </c>
      <c r="AB107" s="154"/>
      <c r="AC107" s="180">
        <f ca="1">(TblConstr[[#This Row],[Tot Smi]]+TblConstr[[#This Row],[Dest Smi]])/(TblConstr[[#This Row],[Land]]-TblExplore[[#This Row],[Land Bonus]]*20)</f>
        <v>0</v>
      </c>
      <c r="AD107" s="137"/>
      <c r="AE107" s="246">
        <f>TblMili[[#This Row],[Hour]]</f>
        <v>104</v>
      </c>
      <c r="AF107" s="138">
        <f ca="1">TblExplore[[#This Row],[Time]]</f>
        <v>45819.291666666417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201961</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45819.291666666417</v>
      </c>
      <c r="AW107" s="94">
        <f ca="1">TblMili[[#This Row],[Draftees]]</f>
        <v>602</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Demonic Pact]]&gt;0,MIN(TblMili[[#This Row],[Unit 1]],TblMili[[#This Row],[Unit 4]])*demonic_pact_oppair,0)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0.80000000000000071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604</v>
      </c>
      <c r="C108" s="157">
        <f ca="1">TblPop[[#This Row],[Military%]]</f>
        <v>0.78543563068920674</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604</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604</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108" s="154"/>
      <c r="AC108" s="180">
        <f ca="1">(TblConstr[[#This Row],[Tot Smi]]+TblConstr[[#This Row],[Dest Smi]])/(TblConstr[[#This Row],[Land]]-TblExplore[[#This Row],[Land Bonus]]*20)</f>
        <v>0</v>
      </c>
      <c r="AD108" s="137"/>
      <c r="AE108" s="246">
        <f>TblMili[[#This Row],[Hour]]</f>
        <v>105</v>
      </c>
      <c r="AF108" s="138">
        <f ca="1">TblExplore[[#This Row],[Time]]</f>
        <v>45819.333333333081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202411</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45819.333333333081</v>
      </c>
      <c r="AW108" s="94">
        <f ca="1">TblMili[[#This Row],[Draftees]]</f>
        <v>604</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Demonic Pact]]&gt;0,MIN(TblMili[[#This Row],[Unit 1]],TblMili[[#This Row],[Unit 4]])*demonic_pact_oppair,0)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0.80000000000000071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606</v>
      </c>
      <c r="C109" s="157">
        <f ca="1">TblPop[[#This Row],[Military%]]</f>
        <v>0.78803641092327703</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606</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606</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606</v>
      </c>
      <c r="AB109" s="154"/>
      <c r="AC109" s="180">
        <f ca="1">(TblConstr[[#This Row],[Tot Smi]]+TblConstr[[#This Row],[Dest Smi]])/(TblConstr[[#This Row],[Land]]-TblExplore[[#This Row],[Land Bonus]]*20)</f>
        <v>0</v>
      </c>
      <c r="AD109" s="137"/>
      <c r="AE109" s="246">
        <f>TblMili[[#This Row],[Hour]]</f>
        <v>106</v>
      </c>
      <c r="AF109" s="138">
        <f ca="1">TblExplore[[#This Row],[Time]]</f>
        <v>45819.374999999745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202856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45819.374999999745</v>
      </c>
      <c r="AW109" s="94">
        <f ca="1">TblMili[[#This Row],[Draftees]]</f>
        <v>606</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Demonic Pact]]&gt;0,MIN(TblMili[[#This Row],[Unit 1]],TblMili[[#This Row],[Unit 4]])*demonic_pact_oppair,0)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0.80000000000000071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608</v>
      </c>
      <c r="C110" s="157">
        <f ca="1">TblPop[[#This Row],[Military%]]</f>
        <v>0.79063719115734721</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608</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608</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608</v>
      </c>
      <c r="AB110" s="154"/>
      <c r="AC110" s="180">
        <f ca="1">(TblConstr[[#This Row],[Tot Smi]]+TblConstr[[#This Row],[Dest Smi]])/(TblConstr[[#This Row],[Land]]-TblExplore[[#This Row],[Land Bonus]]*20)</f>
        <v>0</v>
      </c>
      <c r="AD110" s="137"/>
      <c r="AE110" s="246">
        <f>TblMili[[#This Row],[Hour]]</f>
        <v>107</v>
      </c>
      <c r="AF110" s="138">
        <f ca="1">TblExplore[[#This Row],[Time]]</f>
        <v>45819.41666666641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203296</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45819.41666666641</v>
      </c>
      <c r="AW110" s="94">
        <f ca="1">TblMili[[#This Row],[Draftees]]</f>
        <v>608</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Demonic Pact]]&gt;0,MIN(TblMili[[#This Row],[Unit 1]],TblMili[[#This Row],[Unit 4]])*demonic_pact_oppair,0)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0.80000000000000071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610</v>
      </c>
      <c r="C111" s="157">
        <f ca="1">TblPop[[#This Row],[Military%]]</f>
        <v>0.79323797139141738</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610</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610</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610</v>
      </c>
      <c r="AB111" s="154"/>
      <c r="AC111" s="180">
        <f ca="1">(TblConstr[[#This Row],[Tot Smi]]+TblConstr[[#This Row],[Dest Smi]])/(TblConstr[[#This Row],[Land]]-TblExplore[[#This Row],[Land Bonus]]*20)</f>
        <v>0</v>
      </c>
      <c r="AD111" s="137"/>
      <c r="AE111" s="246">
        <f>TblMili[[#This Row],[Hour]]</f>
        <v>108</v>
      </c>
      <c r="AF111" s="138">
        <f ca="1">TblExplore[[#This Row],[Time]]</f>
        <v>45819.458333333074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203730</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45819.458333333074</v>
      </c>
      <c r="AW111" s="94">
        <f ca="1">TblMili[[#This Row],[Draftees]]</f>
        <v>610</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Demonic Pact]]&gt;0,MIN(TblMili[[#This Row],[Unit 1]],TblMili[[#This Row],[Unit 4]])*demonic_pact_oppair,0)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0.80000000000000071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612</v>
      </c>
      <c r="C112" s="157">
        <f ca="1">TblPop[[#This Row],[Military%]]</f>
        <v>0.79583875162548767</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612</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612</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612</v>
      </c>
      <c r="AB112" s="154"/>
      <c r="AC112" s="180">
        <f ca="1">(TblConstr[[#This Row],[Tot Smi]]+TblConstr[[#This Row],[Dest Smi]])/(TblConstr[[#This Row],[Land]]-TblExplore[[#This Row],[Land Bonus]]*20)</f>
        <v>0</v>
      </c>
      <c r="AD112" s="137"/>
      <c r="AE112" s="246">
        <f>TblMili[[#This Row],[Hour]]</f>
        <v>109</v>
      </c>
      <c r="AF112" s="138">
        <f ca="1">TblExplore[[#This Row],[Time]]</f>
        <v>45819.499999999738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204159</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45819.499999999738</v>
      </c>
      <c r="AW112" s="94">
        <f ca="1">TblMili[[#This Row],[Draftees]]</f>
        <v>612</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Demonic Pact]]&gt;0,MIN(TblMili[[#This Row],[Unit 1]],TblMili[[#This Row],[Unit 4]])*demonic_pact_oppair,0)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0.80000000000000071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614</v>
      </c>
      <c r="C113" s="157">
        <f ca="1">TblPop[[#This Row],[Military%]]</f>
        <v>0.79843953185955785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614</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614</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113" s="154"/>
      <c r="AC113" s="180">
        <f ca="1">(TblConstr[[#This Row],[Tot Smi]]+TblConstr[[#This Row],[Dest Smi]])/(TblConstr[[#This Row],[Land]]-TblExplore[[#This Row],[Land Bonus]]*20)</f>
        <v>0</v>
      </c>
      <c r="AD113" s="137"/>
      <c r="AE113" s="246">
        <f>TblMili[[#This Row],[Hour]]</f>
        <v>110</v>
      </c>
      <c r="AF113" s="138">
        <f ca="1">TblExplore[[#This Row],[Time]]</f>
        <v>45819.541666666402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204582</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45819.541666666402</v>
      </c>
      <c r="AW113" s="94">
        <f ca="1">TblMili[[#This Row],[Draftees]]</f>
        <v>614</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Demonic Pact]]&gt;0,MIN(TblMili[[#This Row],[Unit 1]],TblMili[[#This Row],[Unit 4]])*demonic_pact_oppair,0)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0.80000000000000071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616</v>
      </c>
      <c r="C114" s="157">
        <f ca="1">TblPop[[#This Row],[Military%]]</f>
        <v>0.80104031209362814</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616</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616</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616</v>
      </c>
      <c r="AB114" s="154"/>
      <c r="AC114" s="180">
        <f ca="1">(TblConstr[[#This Row],[Tot Smi]]+TblConstr[[#This Row],[Dest Smi]])/(TblConstr[[#This Row],[Land]]-TblExplore[[#This Row],[Land Bonus]]*20)</f>
        <v>0</v>
      </c>
      <c r="AD114" s="137"/>
      <c r="AE114" s="246">
        <f>TblMili[[#This Row],[Hour]]</f>
        <v>111</v>
      </c>
      <c r="AF114" s="138">
        <f ca="1">TblExplore[[#This Row],[Time]]</f>
        <v>45819.583333333067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205000</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45819.583333333067</v>
      </c>
      <c r="AW114" s="94">
        <f ca="1">TblMili[[#This Row],[Draftees]]</f>
        <v>616</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Demonic Pact]]&gt;0,MIN(TblMili[[#This Row],[Unit 1]],TblMili[[#This Row],[Unit 4]])*demonic_pact_oppair,0)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0.80000000000000071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618</v>
      </c>
      <c r="C115" s="157">
        <f ca="1">TblPop[[#This Row],[Military%]]</f>
        <v>0.80364109232769831</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618</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618</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618</v>
      </c>
      <c r="AB115" s="154"/>
      <c r="AC115" s="180">
        <f ca="1">(TblConstr[[#This Row],[Tot Smi]]+TblConstr[[#This Row],[Dest Smi]])/(TblConstr[[#This Row],[Land]]-TblExplore[[#This Row],[Land Bonus]]*20)</f>
        <v>0</v>
      </c>
      <c r="AD115" s="137"/>
      <c r="AE115" s="246">
        <f>TblMili[[#This Row],[Hour]]</f>
        <v>112</v>
      </c>
      <c r="AF115" s="138">
        <f ca="1">TblExplore[[#This Row],[Time]]</f>
        <v>45819.624999999731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205413</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45819.624999999731</v>
      </c>
      <c r="AW115" s="94">
        <f ca="1">TblMili[[#This Row],[Draftees]]</f>
        <v>618</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Demonic Pact]]&gt;0,MIN(TblMili[[#This Row],[Unit 1]],TblMili[[#This Row],[Unit 4]])*demonic_pact_oppair,0)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0.80000000000000071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620</v>
      </c>
      <c r="C116" s="157">
        <f ca="1">TblPop[[#This Row],[Military%]]</f>
        <v>0.80624187256176849</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620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620</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620</v>
      </c>
      <c r="AB116" s="154"/>
      <c r="AC116" s="180">
        <f ca="1">(TblConstr[[#This Row],[Tot Smi]]+TblConstr[[#This Row],[Dest Smi]])/(TblConstr[[#This Row],[Land]]-TblExplore[[#This Row],[Land Bonus]]*20)</f>
        <v>0</v>
      </c>
      <c r="AD116" s="137"/>
      <c r="AE116" s="246">
        <f>TblMili[[#This Row],[Hour]]</f>
        <v>113</v>
      </c>
      <c r="AF116" s="138">
        <f ca="1">TblExplore[[#This Row],[Time]]</f>
        <v>45819.666666666395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205820</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45819.666666666395</v>
      </c>
      <c r="AW116" s="94">
        <f ca="1">TblMili[[#This Row],[Draftees]]</f>
        <v>620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Demonic Pact]]&gt;0,MIN(TblMili[[#This Row],[Unit 1]],TblMili[[#This Row],[Unit 4]])*demonic_pact_oppair,0)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0.80000000000000071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621</v>
      </c>
      <c r="C117" s="157">
        <f ca="1">TblPop[[#This Row],[Military%]]</f>
        <v>0.80754226267880369</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621</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621</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621</v>
      </c>
      <c r="AB117" s="154"/>
      <c r="AC117" s="180">
        <f ca="1">(TblConstr[[#This Row],[Tot Smi]]+TblConstr[[#This Row],[Dest Smi]])/(TblConstr[[#This Row],[Land]]-TblExplore[[#This Row],[Land Bonus]]*20)</f>
        <v>0</v>
      </c>
      <c r="AD117" s="137"/>
      <c r="AE117" s="246">
        <f>TblMili[[#This Row],[Hour]]</f>
        <v>114</v>
      </c>
      <c r="AF117" s="138">
        <f ca="1">TblExplore[[#This Row],[Time]]</f>
        <v>45819.708333333059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206222</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45819.708333333059</v>
      </c>
      <c r="AW117" s="94">
        <f ca="1">TblMili[[#This Row],[Draftees]]</f>
        <v>621</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Demonic Pact]]&gt;0,MIN(TblMili[[#This Row],[Unit 1]],TblMili[[#This Row],[Unit 4]])*demonic_pact_oppair,0)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0.80000000000000071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622</v>
      </c>
      <c r="C118" s="157">
        <f ca="1">TblPop[[#This Row],[Military%]]</f>
        <v>0.80884265279583878</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622</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622</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622</v>
      </c>
      <c r="AB118" s="154"/>
      <c r="AC118" s="180">
        <f ca="1">(TblConstr[[#This Row],[Tot Smi]]+TblConstr[[#This Row],[Dest Smi]])/(TblConstr[[#This Row],[Land]]-TblExplore[[#This Row],[Land Bonus]]*20)</f>
        <v>0</v>
      </c>
      <c r="AD118" s="137"/>
      <c r="AE118" s="246">
        <f>TblMili[[#This Row],[Hour]]</f>
        <v>115</v>
      </c>
      <c r="AF118" s="138">
        <f ca="1">TblExplore[[#This Row],[Time]]</f>
        <v>45819.749999999724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206621</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45819.749999999724</v>
      </c>
      <c r="AW118" s="94">
        <f ca="1">TblMili[[#This Row],[Draftees]]</f>
        <v>622</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Demonic Pact]]&gt;0,MIN(TblMili[[#This Row],[Unit 1]],TblMili[[#This Row],[Unit 4]])*demonic_pact_oppair,0)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0.80000000000000071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623</v>
      </c>
      <c r="C119" s="157">
        <f ca="1">TblPop[[#This Row],[Military%]]</f>
        <v>0.81014304291287387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623</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623</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623</v>
      </c>
      <c r="AB119" s="154"/>
      <c r="AC119" s="180">
        <f ca="1">(TblConstr[[#This Row],[Tot Smi]]+TblConstr[[#This Row],[Dest Smi]])/(TblConstr[[#This Row],[Land]]-TblExplore[[#This Row],[Land Bonus]]*20)</f>
        <v>0</v>
      </c>
      <c r="AD119" s="137"/>
      <c r="AE119" s="246">
        <f>TblMili[[#This Row],[Hour]]</f>
        <v>116</v>
      </c>
      <c r="AF119" s="138">
        <f ca="1">TblExplore[[#This Row],[Time]]</f>
        <v>45819.791666666388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207017</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45819.791666666388</v>
      </c>
      <c r="AW119" s="94">
        <f ca="1">TblMili[[#This Row],[Draftees]]</f>
        <v>623</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Demonic Pact]]&gt;0,MIN(TblMili[[#This Row],[Unit 1]],TblMili[[#This Row],[Unit 4]])*demonic_pact_oppair,0)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0.80000000000000071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624</v>
      </c>
      <c r="C120" s="157">
        <f ca="1">TblPop[[#This Row],[Military%]]</f>
        <v>0.81144343302990896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624</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624</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120" s="154"/>
      <c r="AC120" s="180">
        <f ca="1">(TblConstr[[#This Row],[Tot Smi]]+TblConstr[[#This Row],[Dest Smi]])/(TblConstr[[#This Row],[Land]]-TblExplore[[#This Row],[Land Bonus]]*20)</f>
        <v>0</v>
      </c>
      <c r="AD120" s="137"/>
      <c r="AE120" s="246">
        <f>TblMili[[#This Row],[Hour]]</f>
        <v>117</v>
      </c>
      <c r="AF120" s="138">
        <f ca="1">TblExplore[[#This Row],[Time]]</f>
        <v>45819.833333333052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207411</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45819.833333333052</v>
      </c>
      <c r="AW120" s="94">
        <f ca="1">TblMili[[#This Row],[Draftees]]</f>
        <v>624</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Demonic Pact]]&gt;0,MIN(TblMili[[#This Row],[Unit 1]],TblMili[[#This Row],[Unit 4]])*demonic_pact_oppair,0)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0.80000000000000071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625</v>
      </c>
      <c r="C121" s="157">
        <f ca="1">TblPop[[#This Row],[Military%]]</f>
        <v>0.81274382314694404</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625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625</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625</v>
      </c>
      <c r="AB121" s="154"/>
      <c r="AC121" s="180">
        <f ca="1">(TblConstr[[#This Row],[Tot Smi]]+TblConstr[[#This Row],[Dest Smi]])/(TblConstr[[#This Row],[Land]]-TblExplore[[#This Row],[Land Bonus]]*20)</f>
        <v>0</v>
      </c>
      <c r="AD121" s="137"/>
      <c r="AE121" s="246">
        <f>TblMili[[#This Row],[Hour]]</f>
        <v>118</v>
      </c>
      <c r="AF121" s="138">
        <f ca="1">TblExplore[[#This Row],[Time]]</f>
        <v>45819.874999999716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207802</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45819.874999999716</v>
      </c>
      <c r="AW121" s="94">
        <f ca="1">TblMili[[#This Row],[Draftees]]</f>
        <v>625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Demonic Pact]]&gt;0,MIN(TblMili[[#This Row],[Unit 1]],TblMili[[#This Row],[Unit 4]])*demonic_pact_oppair,0)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0.80000000000000071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626</v>
      </c>
      <c r="C122" s="157">
        <f ca="1">TblPop[[#This Row],[Military%]]</f>
        <v>0.81404421326397924</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626</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626</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4"/>
      <c r="AC122" s="180">
        <f ca="1">(TblConstr[[#This Row],[Tot Smi]]+TblConstr[[#This Row],[Dest Smi]])/(TblConstr[[#This Row],[Land]]-TblExplore[[#This Row],[Land Bonus]]*20)</f>
        <v>0</v>
      </c>
      <c r="AD122" s="137"/>
      <c r="AE122" s="246">
        <f>TblMili[[#This Row],[Hour]]</f>
        <v>119</v>
      </c>
      <c r="AF122" s="138">
        <f ca="1">TblExplore[[#This Row],[Time]]</f>
        <v>45819.91666666638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208190</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45819.91666666638</v>
      </c>
      <c r="AW122" s="94">
        <f ca="1">TblMili[[#This Row],[Draftees]]</f>
        <v>626</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Demonic Pact]]&gt;0,MIN(TblMili[[#This Row],[Unit 1]],TblMili[[#This Row],[Unit 4]])*demonic_pact_oppair,0)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0.80000000000000071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627</v>
      </c>
      <c r="C123" s="157">
        <f ca="1">TblPop[[#This Row],[Military%]]</f>
        <v>0.81534460338101433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627</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627</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627</v>
      </c>
      <c r="AB123" s="154"/>
      <c r="AC123" s="180">
        <f ca="1">(TblConstr[[#This Row],[Tot Smi]]+TblConstr[[#This Row],[Dest Smi]])/(TblConstr[[#This Row],[Land]]-TblExplore[[#This Row],[Land Bonus]]*20)</f>
        <v>0</v>
      </c>
      <c r="AD123" s="137"/>
      <c r="AE123" s="246">
        <f>TblMili[[#This Row],[Hour]]</f>
        <v>120</v>
      </c>
      <c r="AF123" s="138">
        <f ca="1">TblExplore[[#This Row],[Time]]</f>
        <v>45819.958333333045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208576</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45819.958333333045</v>
      </c>
      <c r="AW123" s="94">
        <f ca="1">TblMili[[#This Row],[Draftees]]</f>
        <v>627</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Demonic Pact]]&gt;0,MIN(TblMili[[#This Row],[Unit 1]],TblMili[[#This Row],[Unit 4]])*demonic_pact_oppair,0)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0.80000000000000071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628</v>
      </c>
      <c r="C124" s="157">
        <f ca="1">TblPop[[#This Row],[Military%]]</f>
        <v>0.81664499349804942</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628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628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628</v>
      </c>
      <c r="AB124" s="154"/>
      <c r="AC124" s="180">
        <f ca="1">(TblConstr[[#This Row],[Tot Smi]]+TblConstr[[#This Row],[Dest Smi]])/(TblConstr[[#This Row],[Land]]-TblExplore[[#This Row],[Land Bonus]]*20)</f>
        <v>0</v>
      </c>
      <c r="AD124" s="256"/>
      <c r="AE124" s="257">
        <f>TblMili[[#This Row],[Hour]]</f>
        <v>121</v>
      </c>
      <c r="AF124" s="138">
        <f ca="1">TblExplore[[#This Row],[Time]]</f>
        <v>45819.999999999709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208959</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45819.999999999709</v>
      </c>
      <c r="AW124" s="94">
        <f ca="1">TblMili[[#This Row],[Draftees]]</f>
        <v>628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Demonic Pact]]&gt;0,MIN(TblMili[[#This Row],[Unit 1]],TblMili[[#This Row],[Unit 4]])*demonic_pact_oppair,0)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0.80000000000000071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629</v>
      </c>
      <c r="C125" s="157">
        <f ca="1">TblPop[[#This Row],[Military%]]</f>
        <v>0.81794538361508451</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629</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629</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125" s="154"/>
      <c r="AC125" s="180">
        <f ca="1">(TblConstr[[#This Row],[Tot Smi]]+TblConstr[[#This Row],[Dest Smi]])/(TblConstr[[#This Row],[Land]]-TblExplore[[#This Row],[Land Bonus]]*20)</f>
        <v>0</v>
      </c>
      <c r="AD125" s="137"/>
      <c r="AE125" s="246">
        <f>TblMili[[#This Row],[Hour]]</f>
        <v>122</v>
      </c>
      <c r="AF125" s="138">
        <f ca="1">TblExplore[[#This Row],[Time]]</f>
        <v>45820.041666666373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209339</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45820.041666666373</v>
      </c>
      <c r="AW125" s="94">
        <f ca="1">TblMili[[#This Row],[Draftees]]</f>
        <v>629</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Demonic Pact]]&gt;0,MIN(TblMili[[#This Row],[Unit 1]],TblMili[[#This Row],[Unit 4]])*demonic_pact_oppair,0)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0.80000000000000071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630</v>
      </c>
      <c r="C126" s="157">
        <f ca="1">TblPop[[#This Row],[Military%]]</f>
        <v>0.8192457737321196</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630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630</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630</v>
      </c>
      <c r="AB126" s="154"/>
      <c r="AC126" s="180">
        <f ca="1">(TblConstr[[#This Row],[Tot Smi]]+TblConstr[[#This Row],[Dest Smi]])/(TblConstr[[#This Row],[Land]]-TblExplore[[#This Row],[Land Bonus]]*20)</f>
        <v>0</v>
      </c>
      <c r="AD126" s="137"/>
      <c r="AE126" s="246">
        <f>TblMili[[#This Row],[Hour]]</f>
        <v>123</v>
      </c>
      <c r="AF126" s="138">
        <f ca="1">TblExplore[[#This Row],[Time]]</f>
        <v>45820.083333333037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209717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45820.083333333037</v>
      </c>
      <c r="AW126" s="94">
        <f ca="1">TblMili[[#This Row],[Draftees]]</f>
        <v>630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Demonic Pact]]&gt;0,MIN(TblMili[[#This Row],[Unit 1]],TblMili[[#This Row],[Unit 4]])*demonic_pact_oppair,0)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0.80000000000000071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631</v>
      </c>
      <c r="C127" s="157">
        <f ca="1">TblPop[[#This Row],[Military%]]</f>
        <v>0.8205461638491548</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631</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631</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631</v>
      </c>
      <c r="AB127" s="154"/>
      <c r="AC127" s="180">
        <f ca="1">(TblConstr[[#This Row],[Tot Smi]]+TblConstr[[#This Row],[Dest Smi]])/(TblConstr[[#This Row],[Land]]-TblExplore[[#This Row],[Land Bonus]]*20)</f>
        <v>0</v>
      </c>
      <c r="AD127" s="137"/>
      <c r="AE127" s="246">
        <f>TblMili[[#This Row],[Hour]]</f>
        <v>124</v>
      </c>
      <c r="AF127" s="138">
        <f ca="1">TblExplore[[#This Row],[Time]]</f>
        <v>45820.124999999702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210092</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45820.124999999702</v>
      </c>
      <c r="AW127" s="94">
        <f ca="1">TblMili[[#This Row],[Draftees]]</f>
        <v>631</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Demonic Pact]]&gt;0,MIN(TblMili[[#This Row],[Unit 1]],TblMili[[#This Row],[Unit 4]])*demonic_pact_oppair,0)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0.80000000000000071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632</v>
      </c>
      <c r="C128" s="157">
        <f ca="1">TblPop[[#This Row],[Military%]]</f>
        <v>0.82184655396618989</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632</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632</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632</v>
      </c>
      <c r="AB128" s="154"/>
      <c r="AC128" s="180">
        <f ca="1">(TblConstr[[#This Row],[Tot Smi]]+TblConstr[[#This Row],[Dest Smi]])/(TblConstr[[#This Row],[Land]]-TblExplore[[#This Row],[Land Bonus]]*20)</f>
        <v>0</v>
      </c>
      <c r="AD128" s="137"/>
      <c r="AE128" s="246">
        <f>TblMili[[#This Row],[Hour]]</f>
        <v>125</v>
      </c>
      <c r="AF128" s="138">
        <f ca="1">TblExplore[[#This Row],[Time]]</f>
        <v>45820.166666666366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210464</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45820.166666666366</v>
      </c>
      <c r="AW128" s="94">
        <f ca="1">TblMili[[#This Row],[Draftees]]</f>
        <v>632</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Demonic Pact]]&gt;0,MIN(TblMili[[#This Row],[Unit 1]],TblMili[[#This Row],[Unit 4]])*demonic_pact_oppair,0)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0.80000000000000071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633</v>
      </c>
      <c r="C129" s="157">
        <f ca="1">TblPop[[#This Row],[Military%]]</f>
        <v>0.82314694408322497</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633</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633</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129" s="154"/>
      <c r="AC129" s="180">
        <f ca="1">(TblConstr[[#This Row],[Tot Smi]]+TblConstr[[#This Row],[Dest Smi]])/(TblConstr[[#This Row],[Land]]-TblExplore[[#This Row],[Land Bonus]]*20)</f>
        <v>0</v>
      </c>
      <c r="AD129" s="137"/>
      <c r="AE129" s="246">
        <f>TblMili[[#This Row],[Hour]]</f>
        <v>126</v>
      </c>
      <c r="AF129" s="138">
        <f ca="1">TblExplore[[#This Row],[Time]]</f>
        <v>45820.20833333303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210833</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45820.20833333303</v>
      </c>
      <c r="AW129" s="94">
        <f ca="1">TblMili[[#This Row],[Draftees]]</f>
        <v>633</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Demonic Pact]]&gt;0,MIN(TblMili[[#This Row],[Unit 1]],TblMili[[#This Row],[Unit 4]])*demonic_pact_oppair,0)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0.80000000000000071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634</v>
      </c>
      <c r="C130" s="157">
        <f ca="1">TblPop[[#This Row],[Military%]]</f>
        <v>0.82444733420026006</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634</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634</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634</v>
      </c>
      <c r="AB130" s="154"/>
      <c r="AC130" s="180">
        <f ca="1">(TblConstr[[#This Row],[Tot Smi]]+TblConstr[[#This Row],[Dest Smi]])/(TblConstr[[#This Row],[Land]]-TblExplore[[#This Row],[Land Bonus]]*20)</f>
        <v>0</v>
      </c>
      <c r="AD130" s="137"/>
      <c r="AE130" s="246">
        <f>TblMili[[#This Row],[Hour]]</f>
        <v>127</v>
      </c>
      <c r="AF130" s="138">
        <f ca="1">TblExplore[[#This Row],[Time]]</f>
        <v>45820.249999999694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211200</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45820.249999999694</v>
      </c>
      <c r="AW130" s="94">
        <f ca="1">TblMili[[#This Row],[Draftees]]</f>
        <v>634</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Demonic Pact]]&gt;0,MIN(TblMili[[#This Row],[Unit 1]],TblMili[[#This Row],[Unit 4]])*demonic_pact_oppair,0)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0.80000000000000071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635</v>
      </c>
      <c r="C131" s="157">
        <f ca="1">TblPop[[#This Row],[Military%]]</f>
        <v>0.82574772431729515</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635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635</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635</v>
      </c>
      <c r="AB131" s="154"/>
      <c r="AC131" s="180">
        <f ca="1">(TblConstr[[#This Row],[Tot Smi]]+TblConstr[[#This Row],[Dest Smi]])/(TblConstr[[#This Row],[Land]]-TblExplore[[#This Row],[Land Bonus]]*20)</f>
        <v>0</v>
      </c>
      <c r="AD131" s="137"/>
      <c r="AE131" s="246">
        <f>TblMili[[#This Row],[Hour]]</f>
        <v>128</v>
      </c>
      <c r="AF131" s="138">
        <f ca="1">TblExplore[[#This Row],[Time]]</f>
        <v>45820.291666666359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211564</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45820.291666666359</v>
      </c>
      <c r="AW131" s="94">
        <f ca="1">TblMili[[#This Row],[Draftees]]</f>
        <v>635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Demonic Pact]]&gt;0,MIN(TblMili[[#This Row],[Unit 1]],TblMili[[#This Row],[Unit 4]])*demonic_pact_oppair,0)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0.80000000000000071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636</v>
      </c>
      <c r="C132" s="157">
        <f ca="1">TblPop[[#This Row],[Military%]]</f>
        <v>0.82704811443433035</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636</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636</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636</v>
      </c>
      <c r="AB132" s="154"/>
      <c r="AC132" s="180">
        <f ca="1">(TblConstr[[#This Row],[Tot Smi]]+TblConstr[[#This Row],[Dest Smi]])/(TblConstr[[#This Row],[Land]]-TblExplore[[#This Row],[Land Bonus]]*20)</f>
        <v>0</v>
      </c>
      <c r="AD132" s="137"/>
      <c r="AE132" s="246">
        <f>TblMili[[#This Row],[Hour]]</f>
        <v>129</v>
      </c>
      <c r="AF132" s="138">
        <f ca="1">TblExplore[[#This Row],[Time]]</f>
        <v>45820.333333333023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211925</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45820.333333333023</v>
      </c>
      <c r="AW132" s="94">
        <f ca="1">TblMili[[#This Row],[Draftees]]</f>
        <v>636</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Demonic Pact]]&gt;0,MIN(TblMili[[#This Row],[Unit 1]],TblMili[[#This Row],[Unit 4]])*demonic_pact_oppair,0)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0.80000000000000071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637</v>
      </c>
      <c r="C133" s="157">
        <f ca="1">TblPop[[#This Row],[Military%]]</f>
        <v>0.82834850455136544</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637</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637</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133" s="154"/>
      <c r="AC133" s="180">
        <f ca="1">(TblConstr[[#This Row],[Tot Smi]]+TblConstr[[#This Row],[Dest Smi]])/(TblConstr[[#This Row],[Land]]-TblExplore[[#This Row],[Land Bonus]]*20)</f>
        <v>0</v>
      </c>
      <c r="AD133" s="137"/>
      <c r="AE133" s="246">
        <f>TblMili[[#This Row],[Hour]]</f>
        <v>130</v>
      </c>
      <c r="AF133" s="138">
        <f ca="1">TblExplore[[#This Row],[Time]]</f>
        <v>45820.374999999687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212284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45820.374999999687</v>
      </c>
      <c r="AW133" s="94">
        <f ca="1">TblMili[[#This Row],[Draftees]]</f>
        <v>637</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Demonic Pact]]&gt;0,MIN(TblMili[[#This Row],[Unit 1]],TblMili[[#This Row],[Unit 4]])*demonic_pact_oppair,0)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0.80000000000000071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638</v>
      </c>
      <c r="C134" s="157">
        <f ca="1">TblPop[[#This Row],[Military%]]</f>
        <v>0.82964889466840053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638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638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638</v>
      </c>
      <c r="AB134" s="154"/>
      <c r="AC134" s="180">
        <f ca="1">(TblConstr[[#This Row],[Tot Smi]]+TblConstr[[#This Row],[Dest Smi]])/(TblConstr[[#This Row],[Land]]-TblExplore[[#This Row],[Land Bonus]]*20)</f>
        <v>0</v>
      </c>
      <c r="AD134" s="137"/>
      <c r="AE134" s="246">
        <f>TblMili[[#This Row],[Hour]]</f>
        <v>131</v>
      </c>
      <c r="AF134" s="138">
        <f ca="1">TblExplore[[#This Row],[Time]]</f>
        <v>45820.416666666351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212640</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45820.416666666351</v>
      </c>
      <c r="AW134" s="94">
        <f ca="1">TblMili[[#This Row],[Draftees]]</f>
        <v>638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Demonic Pact]]&gt;0,MIN(TblMili[[#This Row],[Unit 1]],TblMili[[#This Row],[Unit 4]])*demonic_pact_oppair,0)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0.80000000000000071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639</v>
      </c>
      <c r="C135" s="157">
        <f ca="1">TblPop[[#This Row],[Military%]]</f>
        <v>0.83094928478543562</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639</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639</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639</v>
      </c>
      <c r="AB135" s="154"/>
      <c r="AC135" s="180">
        <f ca="1">(TblConstr[[#This Row],[Tot Smi]]+TblConstr[[#This Row],[Dest Smi]])/(TblConstr[[#This Row],[Land]]-TblExplore[[#This Row],[Land Bonus]]*20)</f>
        <v>0</v>
      </c>
      <c r="AD135" s="137"/>
      <c r="AE135" s="246">
        <f>TblMili[[#This Row],[Hour]]</f>
        <v>132</v>
      </c>
      <c r="AF135" s="138">
        <f ca="1">TblExplore[[#This Row],[Time]]</f>
        <v>45820.458333333016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212993</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45820.458333333016</v>
      </c>
      <c r="AW135" s="94">
        <f ca="1">TblMili[[#This Row],[Draftees]]</f>
        <v>639</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Demonic Pact]]&gt;0,MIN(TblMili[[#This Row],[Unit 1]],TblMili[[#This Row],[Unit 4]])*demonic_pact_oppair,0)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0.80000000000000071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640</v>
      </c>
      <c r="C136" s="157">
        <f ca="1">TblPop[[#This Row],[Military%]]</f>
        <v>0.8322496749024707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640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640</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640</v>
      </c>
      <c r="AB136" s="154"/>
      <c r="AC136" s="180">
        <f ca="1">(TblConstr[[#This Row],[Tot Smi]]+TblConstr[[#This Row],[Dest Smi]])/(TblConstr[[#This Row],[Land]]-TblExplore[[#This Row],[Land Bonus]]*20)</f>
        <v>0</v>
      </c>
      <c r="AD136" s="246"/>
      <c r="AE136" s="246">
        <f>TblMili[[#This Row],[Hour]]</f>
        <v>133</v>
      </c>
      <c r="AF136" s="138">
        <f ca="1">TblExplore[[#This Row],[Time]]</f>
        <v>45820.49999999968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213344</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45820.49999999968</v>
      </c>
      <c r="AW136" s="94">
        <f ca="1">TblMili[[#This Row],[Draftees]]</f>
        <v>640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Demonic Pact]]&gt;0,MIN(TblMili[[#This Row],[Unit 1]],TblMili[[#This Row],[Unit 4]])*demonic_pact_oppair,0)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0.80000000000000071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1" t="s">
        <v>314</v>
      </c>
      <c r="C1269" s="531"/>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$A4=49</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8"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8"/>
      <c r="P2" s="242" t="s">
        <v>92</v>
      </c>
      <c r="Q2" s="242" t="s">
        <v>103</v>
      </c>
      <c r="R2" s="242" t="s">
        <v>328</v>
      </c>
      <c r="S2" s="242" t="s">
        <v>342</v>
      </c>
      <c r="T2" s="242" t="s">
        <v>498</v>
      </c>
      <c r="U2" s="242" t="s">
        <v>90</v>
      </c>
      <c r="V2" s="242" t="s">
        <v>1132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1136</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1137</v>
      </c>
    </row>
    <row r="4" spans="1:43" x14ac:dyDescent="0.2">
      <c r="A4" s="137">
        <f>TblRezone[[#This Row],[Hour]]</f>
        <v>1</v>
      </c>
      <c r="B4" s="154">
        <f ca="1">TblConstr[[#This Row],[Land]]</f>
        <v>50</v>
      </c>
      <c r="C4" s="94">
        <f ca="1">TblProd[[#This Row],[Mana]]</f>
        <v>0</v>
      </c>
      <c r="D4" s="397">
        <f>1-TblMagic[[#This Row],[Wiz str cost]]</f>
        <v>1</v>
      </c>
      <c r="E4" s="159">
        <f>Imps!L4</f>
        <v>45815</v>
      </c>
      <c r="F4" s="156">
        <f ca="1">TblImps[[#This Row],[Population]]</f>
        <v>1</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Row],[Demonic Pact]]*12</f>
        <v>0</v>
      </c>
    </row>
    <row r="5" spans="1:43"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45815.041666666664</v>
      </c>
      <c r="F5" s="156">
        <f ca="1">TblImps[[#This Row],[Population]]</f>
        <v>1</v>
      </c>
      <c r="G5" s="218"/>
      <c r="H5" s="218"/>
      <c r="I5" s="218"/>
      <c r="J5" s="218"/>
      <c r="K5" s="405"/>
      <c r="L5" s="218"/>
      <c r="M5" s="218"/>
      <c r="N5" s="218"/>
      <c r="O5" s="218"/>
      <c r="P5" s="218"/>
      <c r="Q5" s="218"/>
      <c r="R5" s="218"/>
      <c r="S5" s="218"/>
      <c r="T5" s="218"/>
      <c r="U5" s="218"/>
      <c r="V5" s="218"/>
      <c r="W5" s="218"/>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45815.083333333328</v>
      </c>
      <c r="F6" s="156">
        <f ca="1">TblImps[[#This Row],[Population]]</f>
        <v>1</v>
      </c>
      <c r="G6" s="218"/>
      <c r="H6" s="218"/>
      <c r="I6" s="218"/>
      <c r="J6" s="218"/>
      <c r="K6" s="405"/>
      <c r="L6" s="218"/>
      <c r="M6" s="218"/>
      <c r="N6" s="218"/>
      <c r="O6" s="218"/>
      <c r="P6" s="218"/>
      <c r="Q6" s="218"/>
      <c r="R6" s="218"/>
      <c r="S6" s="218"/>
      <c r="T6" s="218"/>
      <c r="U6" s="218"/>
      <c r="V6" s="218"/>
      <c r="W6" s="218"/>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45815.124999999993</v>
      </c>
      <c r="F7" s="156">
        <f ca="1">TblImps[[#This Row],[Population]]</f>
        <v>1</v>
      </c>
      <c r="G7" s="218"/>
      <c r="H7" s="218"/>
      <c r="I7" s="218"/>
      <c r="J7" s="218"/>
      <c r="K7" s="405"/>
      <c r="L7" s="218"/>
      <c r="M7" s="218"/>
      <c r="N7" s="218"/>
      <c r="O7" s="218"/>
      <c r="P7" s="218"/>
      <c r="Q7" s="218"/>
      <c r="R7" s="218"/>
      <c r="S7" s="218"/>
      <c r="T7" s="218"/>
      <c r="U7" s="218"/>
      <c r="V7" s="218"/>
      <c r="W7" s="218"/>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45815.166666666657</v>
      </c>
      <c r="F8" s="156">
        <f ca="1">TblImps[[#This Row],[Population]]</f>
        <v>1</v>
      </c>
      <c r="G8" s="218"/>
      <c r="H8" s="218"/>
      <c r="I8" s="218"/>
      <c r="J8" s="218"/>
      <c r="K8" s="405"/>
      <c r="L8" s="218"/>
      <c r="M8" s="218"/>
      <c r="N8" s="218"/>
      <c r="O8" s="218"/>
      <c r="P8" s="218"/>
      <c r="Q8" s="218"/>
      <c r="R8" s="218"/>
      <c r="S8" s="218"/>
      <c r="T8" s="218"/>
      <c r="U8" s="218"/>
      <c r="V8" s="218"/>
      <c r="W8" s="218"/>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45815.208333333321</v>
      </c>
      <c r="F9" s="156">
        <f ca="1">TblImps[[#This Row],[Population]]</f>
        <v>1</v>
      </c>
      <c r="G9" s="218"/>
      <c r="H9" s="218"/>
      <c r="I9" s="218"/>
      <c r="J9" s="218"/>
      <c r="K9" s="405"/>
      <c r="L9" s="218"/>
      <c r="M9" s="218"/>
      <c r="N9" s="218"/>
      <c r="O9" s="218"/>
      <c r="P9" s="218"/>
      <c r="Q9" s="218"/>
      <c r="R9" s="218"/>
      <c r="S9" s="218"/>
      <c r="T9" s="218"/>
      <c r="U9" s="218"/>
      <c r="V9" s="218"/>
      <c r="W9" s="218"/>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45815.249999999985</v>
      </c>
      <c r="F10" s="156">
        <f ca="1">TblImps[[#This Row],[Population]]</f>
        <v>1</v>
      </c>
      <c r="G10" s="218"/>
      <c r="H10" s="218"/>
      <c r="I10" s="218"/>
      <c r="J10" s="218"/>
      <c r="K10" s="405"/>
      <c r="L10" s="218"/>
      <c r="M10" s="218"/>
      <c r="N10" s="218"/>
      <c r="O10" s="218"/>
      <c r="P10" s="218"/>
      <c r="Q10" s="218"/>
      <c r="R10" s="218"/>
      <c r="S10" s="218"/>
      <c r="T10" s="218"/>
      <c r="U10" s="218"/>
      <c r="V10" s="218"/>
      <c r="W10" s="218"/>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45815.29166666665</v>
      </c>
      <c r="F11" s="156">
        <f ca="1">TblImps[[#This Row],[Population]]</f>
        <v>1</v>
      </c>
      <c r="G11" s="218"/>
      <c r="H11" s="218"/>
      <c r="I11" s="218"/>
      <c r="J11" s="218"/>
      <c r="K11" s="405"/>
      <c r="L11" s="218"/>
      <c r="M11" s="218"/>
      <c r="N11" s="218"/>
      <c r="O11" s="218"/>
      <c r="P11" s="218"/>
      <c r="Q11" s="218"/>
      <c r="R11" s="218"/>
      <c r="S11" s="218"/>
      <c r="T11" s="218"/>
      <c r="U11" s="218"/>
      <c r="V11" s="218"/>
      <c r="W11" s="218"/>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45815.333333333314</v>
      </c>
      <c r="F12" s="156">
        <f ca="1">TblImps[[#This Row],[Population]]</f>
        <v>1</v>
      </c>
      <c r="G12" s="218"/>
      <c r="H12" s="218"/>
      <c r="I12" s="218"/>
      <c r="J12" s="218"/>
      <c r="K12" s="405"/>
      <c r="L12" s="218"/>
      <c r="M12" s="218"/>
      <c r="N12" s="218"/>
      <c r="O12" s="218"/>
      <c r="P12" s="218"/>
      <c r="Q12" s="218"/>
      <c r="R12" s="218"/>
      <c r="S12" s="218"/>
      <c r="T12" s="218"/>
      <c r="U12" s="218"/>
      <c r="V12" s="218"/>
      <c r="W12" s="218"/>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45815.374999999978</v>
      </c>
      <c r="F13" s="156">
        <f ca="1">TblImps[[#This Row],[Population]]</f>
        <v>1</v>
      </c>
      <c r="G13" s="218"/>
      <c r="H13" s="218"/>
      <c r="I13" s="218"/>
      <c r="J13" s="218"/>
      <c r="K13" s="405"/>
      <c r="L13" s="218"/>
      <c r="M13" s="218"/>
      <c r="N13" s="218"/>
      <c r="O13" s="218"/>
      <c r="P13" s="218"/>
      <c r="Q13" s="218"/>
      <c r="R13" s="218"/>
      <c r="S13" s="218"/>
      <c r="T13" s="218"/>
      <c r="U13" s="218"/>
      <c r="V13" s="218"/>
      <c r="W13" s="218"/>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45815.416666666642</v>
      </c>
      <c r="F14" s="156">
        <f ca="1">TblImps[[#This Row],[Population]]</f>
        <v>1</v>
      </c>
      <c r="G14" s="218"/>
      <c r="H14" s="218"/>
      <c r="I14" s="218"/>
      <c r="J14" s="218"/>
      <c r="K14" s="405"/>
      <c r="L14" s="218"/>
      <c r="M14" s="218"/>
      <c r="N14" s="218"/>
      <c r="O14" s="218"/>
      <c r="P14" s="218"/>
      <c r="Q14" s="218"/>
      <c r="R14" s="218"/>
      <c r="S14" s="218"/>
      <c r="T14" s="218"/>
      <c r="U14" s="218"/>
      <c r="V14" s="218"/>
      <c r="W14" s="218"/>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45815.458333333307</v>
      </c>
      <c r="F15" s="156">
        <f ca="1">TblImps[[#This Row],[Population]]</f>
        <v>1</v>
      </c>
      <c r="G15" s="218"/>
      <c r="H15" s="218"/>
      <c r="I15" s="218"/>
      <c r="J15" s="218"/>
      <c r="K15" s="405"/>
      <c r="L15" s="218"/>
      <c r="M15" s="218"/>
      <c r="N15" s="218"/>
      <c r="O15" s="218"/>
      <c r="P15" s="218"/>
      <c r="Q15" s="218"/>
      <c r="R15" s="218"/>
      <c r="S15" s="218"/>
      <c r="T15" s="218"/>
      <c r="U15" s="218"/>
      <c r="V15" s="218"/>
      <c r="W15" s="218"/>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x14ac:dyDescent="0.2">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45815.499999999971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x14ac:dyDescent="0.2">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45815.541666666635</v>
      </c>
      <c r="F17" s="156">
        <f ca="1">TblImps[[#This Row],[Population]]</f>
        <v>1</v>
      </c>
      <c r="G17" s="218"/>
      <c r="H17" s="218"/>
      <c r="I17" s="218"/>
      <c r="J17" s="218"/>
      <c r="K17" s="405"/>
      <c r="L17" s="218"/>
      <c r="M17" s="218"/>
      <c r="N17" s="218"/>
      <c r="O17" s="218"/>
      <c r="P17" s="218"/>
      <c r="Q17" s="218"/>
      <c r="R17" s="218"/>
      <c r="S17" s="218"/>
      <c r="T17" s="218"/>
      <c r="U17" s="218"/>
      <c r="V17" s="218"/>
      <c r="W17" s="218"/>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x14ac:dyDescent="0.2">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45815.583333333299</v>
      </c>
      <c r="F18" s="156">
        <f ca="1">TblImps[[#This Row],[Population]]</f>
        <v>1</v>
      </c>
      <c r="G18" s="218"/>
      <c r="H18" s="218"/>
      <c r="I18" s="218"/>
      <c r="J18" s="218"/>
      <c r="K18" s="405"/>
      <c r="L18" s="218"/>
      <c r="M18" s="218"/>
      <c r="N18" s="218"/>
      <c r="O18" s="218"/>
      <c r="P18" s="218"/>
      <c r="Q18" s="218"/>
      <c r="R18" s="218"/>
      <c r="S18" s="218"/>
      <c r="T18" s="218"/>
      <c r="U18" s="218"/>
      <c r="V18" s="218"/>
      <c r="W18" s="218"/>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x14ac:dyDescent="0.2">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45815.624999999964</v>
      </c>
      <c r="F19" s="156">
        <f ca="1">TblImps[[#This Row],[Population]]</f>
        <v>1</v>
      </c>
      <c r="G19" s="218"/>
      <c r="H19" s="218"/>
      <c r="I19" s="218"/>
      <c r="J19" s="218"/>
      <c r="K19" s="405"/>
      <c r="L19" s="218"/>
      <c r="M19" s="218"/>
      <c r="N19" s="218"/>
      <c r="O19" s="218"/>
      <c r="P19" s="218"/>
      <c r="Q19" s="218"/>
      <c r="R19" s="218"/>
      <c r="S19" s="218"/>
      <c r="T19" s="218"/>
      <c r="U19" s="218"/>
      <c r="V19" s="218"/>
      <c r="W19" s="218"/>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x14ac:dyDescent="0.2">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45815.666666666628</v>
      </c>
      <c r="F20" s="156">
        <f ca="1">TblImps[[#This Row],[Population]]</f>
        <v>1</v>
      </c>
      <c r="G20" s="218"/>
      <c r="H20" s="218"/>
      <c r="I20" s="218"/>
      <c r="J20" s="218"/>
      <c r="K20" s="405"/>
      <c r="L20" s="218"/>
      <c r="M20" s="218"/>
      <c r="N20" s="218"/>
      <c r="O20" s="218"/>
      <c r="P20" s="218"/>
      <c r="Q20" s="218"/>
      <c r="R20" s="218"/>
      <c r="S20" s="218"/>
      <c r="T20" s="218"/>
      <c r="U20" s="218"/>
      <c r="V20" s="218"/>
      <c r="W20" s="218"/>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x14ac:dyDescent="0.2">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45815.708333333292</v>
      </c>
      <c r="F21" s="156">
        <f ca="1">TblImps[[#This Row],[Population]]</f>
        <v>1</v>
      </c>
      <c r="G21" s="218"/>
      <c r="H21" s="218"/>
      <c r="I21" s="218"/>
      <c r="J21" s="218"/>
      <c r="K21" s="405"/>
      <c r="L21" s="218"/>
      <c r="M21" s="218"/>
      <c r="N21" s="218"/>
      <c r="O21" s="218"/>
      <c r="P21" s="218"/>
      <c r="Q21" s="218"/>
      <c r="R21" s="218"/>
      <c r="S21" s="218"/>
      <c r="T21" s="218"/>
      <c r="U21" s="218"/>
      <c r="V21" s="218"/>
      <c r="W21" s="218"/>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x14ac:dyDescent="0.2">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45815.749999999956</v>
      </c>
      <c r="F22" s="156">
        <f ca="1">TblImps[[#This Row],[Population]]</f>
        <v>1</v>
      </c>
      <c r="G22" s="218"/>
      <c r="H22" s="218"/>
      <c r="I22" s="218"/>
      <c r="J22" s="218"/>
      <c r="K22" s="405"/>
      <c r="L22" s="218"/>
      <c r="M22" s="218"/>
      <c r="N22" s="218"/>
      <c r="O22" s="218"/>
      <c r="P22" s="218"/>
      <c r="Q22" s="218"/>
      <c r="R22" s="218"/>
      <c r="S22" s="218"/>
      <c r="T22" s="218"/>
      <c r="U22" s="218"/>
      <c r="V22" s="218"/>
      <c r="W22" s="218"/>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x14ac:dyDescent="0.2">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45815.791666666621</v>
      </c>
      <c r="F23" s="156">
        <f ca="1">TblImps[[#This Row],[Population]]</f>
        <v>1</v>
      </c>
      <c r="G23" s="218"/>
      <c r="H23" s="218"/>
      <c r="I23" s="218"/>
      <c r="J23" s="218"/>
      <c r="K23" s="405"/>
      <c r="L23" s="218"/>
      <c r="M23" s="218"/>
      <c r="N23" s="218"/>
      <c r="O23" s="218"/>
      <c r="P23" s="218"/>
      <c r="Q23" s="218"/>
      <c r="R23" s="218"/>
      <c r="S23" s="218"/>
      <c r="T23" s="218"/>
      <c r="U23" s="218"/>
      <c r="V23" s="218"/>
      <c r="W23" s="218"/>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x14ac:dyDescent="0.2">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45815.833333333285</v>
      </c>
      <c r="F24" s="156">
        <f ca="1">TblImps[[#This Row],[Population]]</f>
        <v>1</v>
      </c>
      <c r="G24" s="218"/>
      <c r="H24" s="218"/>
      <c r="I24" s="218"/>
      <c r="J24" s="218"/>
      <c r="K24" s="405"/>
      <c r="L24" s="218"/>
      <c r="M24" s="218"/>
      <c r="N24" s="218"/>
      <c r="O24" s="218"/>
      <c r="P24" s="218"/>
      <c r="Q24" s="218"/>
      <c r="R24" s="218"/>
      <c r="S24" s="218"/>
      <c r="T24" s="218"/>
      <c r="U24" s="218"/>
      <c r="V24" s="218"/>
      <c r="W24" s="218"/>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x14ac:dyDescent="0.2">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45815.874999999949</v>
      </c>
      <c r="F25" s="156">
        <f ca="1">TblImps[[#This Row],[Population]]</f>
        <v>1</v>
      </c>
      <c r="G25" s="218"/>
      <c r="H25" s="218"/>
      <c r="I25" s="218"/>
      <c r="J25" s="218"/>
      <c r="K25" s="405"/>
      <c r="L25" s="218"/>
      <c r="M25" s="218"/>
      <c r="N25" s="218"/>
      <c r="O25" s="218"/>
      <c r="P25" s="218"/>
      <c r="Q25" s="218"/>
      <c r="R25" s="218"/>
      <c r="S25" s="218"/>
      <c r="T25" s="218"/>
      <c r="U25" s="218"/>
      <c r="V25" s="218"/>
      <c r="W25" s="218"/>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x14ac:dyDescent="0.2">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45815.916666666613</v>
      </c>
      <c r="F26" s="156">
        <f ca="1">TblImps[[#This Row],[Population]]</f>
        <v>1</v>
      </c>
      <c r="G26" s="218"/>
      <c r="H26" s="218"/>
      <c r="I26" s="218"/>
      <c r="J26" s="218"/>
      <c r="K26" s="405"/>
      <c r="L26" s="218"/>
      <c r="M26" s="218"/>
      <c r="N26" s="218"/>
      <c r="O26" s="218"/>
      <c r="P26" s="218"/>
      <c r="Q26" s="218"/>
      <c r="R26" s="218"/>
      <c r="S26" s="218"/>
      <c r="T26" s="218"/>
      <c r="U26" s="218"/>
      <c r="V26" s="218"/>
      <c r="W26" s="218"/>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x14ac:dyDescent="0.2">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45815.958333333278</v>
      </c>
      <c r="F27" s="156">
        <f ca="1">TblImps[[#This Row],[Population]]</f>
        <v>1</v>
      </c>
      <c r="G27" s="218"/>
      <c r="H27" s="218"/>
      <c r="I27" s="218"/>
      <c r="J27" s="218"/>
      <c r="K27" s="405"/>
      <c r="L27" s="218"/>
      <c r="M27" s="218"/>
      <c r="N27" s="218"/>
      <c r="O27" s="218"/>
      <c r="P27" s="218"/>
      <c r="Q27" s="218"/>
      <c r="R27" s="218"/>
      <c r="S27" s="218"/>
      <c r="T27" s="218"/>
      <c r="U27" s="218"/>
      <c r="V27" s="218"/>
      <c r="W27" s="218"/>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x14ac:dyDescent="0.2">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45815.999999999942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x14ac:dyDescent="0.2">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45816.041666666606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x14ac:dyDescent="0.2">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45816.08333333327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x14ac:dyDescent="0.2">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45816.124999999935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x14ac:dyDescent="0.2">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45816.166666666599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x14ac:dyDescent="0.2">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45816.208333333263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x14ac:dyDescent="0.2">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45816.249999999927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x14ac:dyDescent="0.2">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45816.291666666591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x14ac:dyDescent="0.2">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45816.333333333256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x14ac:dyDescent="0.2">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45816.37499999992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x14ac:dyDescent="0.2">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45816.416666666584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x14ac:dyDescent="0.2">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45816.458333333248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x14ac:dyDescent="0.2">
      <c r="A40" s="137">
        <f>TblRezone[[#This Row],[Hour]]</f>
        <v>37</v>
      </c>
      <c r="B40" s="154">
        <f ca="1">TblConstr[[#This Row],[Land]]</f>
        <v>50</v>
      </c>
      <c r="C40" s="94">
        <f ca="1">TblProd[[#This Row],[Mana]]</f>
        <v>0</v>
      </c>
      <c r="D40" s="156">
        <f ca="1">MIN(1,OFFSET(TblMagic[[#This Row],[Wiz str]],-1,0)+0.04+ROUNDDOWN(10*OFFSET(TblMili[[#This Row],[WG''s]],-1,0),0)+ tech_2_7*OFFSET(TblTech[[#This Row],[2-7]],-1,0) + tech_5_6*OFFSET(TblTech[[#This Row],[5-6]],-1,0) )-TblMagic[[#This Row],[Wiz str cost]]</f>
        <v>1</v>
      </c>
      <c r="E40" s="159">
        <f ca="1">OFFSET(TblMagic[[#This Row],[Time]],-1,0)+1/24</f>
        <v>45816.499999999913</v>
      </c>
      <c r="F40" s="156">
        <f ca="1">TblImps[[#This Row],[Population]]</f>
        <v>1</v>
      </c>
      <c r="G40" s="218"/>
      <c r="H40" s="218"/>
      <c r="I40" s="218"/>
      <c r="J40" s="218"/>
      <c r="K40" s="405"/>
      <c r="L40" s="218"/>
      <c r="M40" s="218"/>
      <c r="N40" s="218"/>
      <c r="O40" s="218"/>
      <c r="P40" s="218"/>
      <c r="Q40" s="218"/>
      <c r="R40" s="218"/>
      <c r="S40" s="218"/>
      <c r="T40" s="218"/>
      <c r="U40" s="218"/>
      <c r="V40" s="218"/>
      <c r="W40" s="218"/>
      <c r="X40" s="142"/>
      <c r="Y4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6">
        <f>SUMIF(TblMagic[[#This Row],[Gaia''s Watch]:[Useless spell]],1)*0.05</f>
        <v>0</v>
      </c>
      <c r="AA40" s="142"/>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Row],[Demonic Pact]],12,IF(OFFSET(TblMagic[[#This Row],[Active Demonic Pact]],-1,0)&gt;0,OFFSET(TblMagic[[#This Row],[Active Demonic Pact]],-1,0)-1,0))</f>
        <v>0</v>
      </c>
    </row>
    <row r="41" spans="1:43" x14ac:dyDescent="0.2">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45816.541666666577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x14ac:dyDescent="0.2">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45816.583333333241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x14ac:dyDescent="0.2">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45816.624999999905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x14ac:dyDescent="0.2">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45816.66666666657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x14ac:dyDescent="0.2">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45816.708333333234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x14ac:dyDescent="0.2">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45816.749999999898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x14ac:dyDescent="0.2">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45816.791666666562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x14ac:dyDescent="0.2">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45816.833333333227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x14ac:dyDescent="0.2">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45816.874999999891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x14ac:dyDescent="0.2">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45816.916666666555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x14ac:dyDescent="0.2">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45816.958333333219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s="5" customFormat="1" x14ac:dyDescent="0.2">
      <c r="A52" s="144">
        <f>TblRezone[[#This Row],[Hour]]</f>
        <v>49</v>
      </c>
      <c r="B52" s="162">
        <f ca="1">TblConstr[[#This Row],[Land]]</f>
        <v>50</v>
      </c>
      <c r="C52" s="35">
        <f ca="1">TblProd[[#This Row],[Mana]]</f>
        <v>0</v>
      </c>
      <c r="D52" s="164">
        <f ca="1">MIN(1,OFFSET(TblMagic[[#This Row],[Wiz str]],-1,0)+0.04+ROUNDDOWN(10*OFFSET(TblMili[[#This Row],[WG''s]],-1,0),0)+ tech_2_7*OFFSET(TblTech[[#This Row],[2-7]],-1,0) + tech_5_6*OFFSET(TblTech[[#This Row],[5-6]],-1,0) )-TblMagic[[#This Row],[Wiz str cost]]</f>
        <v>1</v>
      </c>
      <c r="E52" s="167">
        <f ca="1">OFFSET(TblMagic[[#This Row],[Time]],-1,0)+1/24</f>
        <v>45816.999999999884</v>
      </c>
      <c r="F52" s="164">
        <f ca="1">TblImps[[#This Row],[Population]]</f>
        <v>1</v>
      </c>
      <c r="G52" s="233"/>
      <c r="H52" s="233"/>
      <c r="I52" s="233"/>
      <c r="J52" s="233"/>
      <c r="K52" s="406"/>
      <c r="L52" s="233"/>
      <c r="M52" s="233"/>
      <c r="N52" s="233"/>
      <c r="O52" s="233"/>
      <c r="P52" s="233"/>
      <c r="Q52" s="233"/>
      <c r="R52" s="233"/>
      <c r="S52" s="233"/>
      <c r="T52" s="233"/>
      <c r="U52" s="233"/>
      <c r="V52" s="233"/>
      <c r="W52" s="233"/>
      <c r="X52" s="149"/>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4">
        <f>SUMIF(TblMagic[[#This Row],[Gaia''s Watch]:[Useless spell]],1)*0.05</f>
        <v>0</v>
      </c>
      <c r="AA52" s="149"/>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Row],[Alchemist Frost]],12,IF(OFFSET(TblMagic[[#This Row],[Active Alch Frost]],-1,0)&gt;0,OFFSET(TblMagic[[#This Row],[Active Alch Frost]],-1,0)-1,0))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Row],[Demonic Pact]],12,IF(OFFSET(TblMagic[[#This Row],[Active Demonic Pact]],-1,0)&gt;0,OFFSET(TblMagic[[#This Row],[Active Demonic Pact]],-1,0)-1,0))</f>
        <v>0</v>
      </c>
    </row>
    <row r="53" spans="1:43" x14ac:dyDescent="0.2">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45817.041666666548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x14ac:dyDescent="0.2">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45817.083333333212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x14ac:dyDescent="0.2">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45817.124999999876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x14ac:dyDescent="0.2">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45817.166666666541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x14ac:dyDescent="0.2">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45817.208333333205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x14ac:dyDescent="0.2">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45817.249999999869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x14ac:dyDescent="0.2">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45817.291666666533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x14ac:dyDescent="0.2">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45817.333333333198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x14ac:dyDescent="0.2">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45817.374999999862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x14ac:dyDescent="0.2">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45817.416666666526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x14ac:dyDescent="0.2">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45817.45833333319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x14ac:dyDescent="0.2">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45817.499999999854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x14ac:dyDescent="0.2">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45817.541666666519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x14ac:dyDescent="0.2">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45817.583333333183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x14ac:dyDescent="0.2">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45817.624999999847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x14ac:dyDescent="0.2">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45817.666666666511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x14ac:dyDescent="0.2">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45817.708333333176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x14ac:dyDescent="0.2">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45817.74999999984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x14ac:dyDescent="0.2">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45817.791666666504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x14ac:dyDescent="0.2">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45817.833333333168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x14ac:dyDescent="0.2">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45817.874999999833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x14ac:dyDescent="0.2">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45817.916666666497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x14ac:dyDescent="0.2">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45817.958333333161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433" customFormat="1" x14ac:dyDescent="0.2">
      <c r="A76" s="137">
        <f>TblRezone[[#This Row],[Hour]]</f>
        <v>73</v>
      </c>
      <c r="B76" s="154">
        <f ca="1">TblConstr[[#This Row],[Land]]</f>
        <v>50</v>
      </c>
      <c r="C76" s="430">
        <f ca="1">TblProd[[#This Row],[Mana]]</f>
        <v>0</v>
      </c>
      <c r="D76" s="458">
        <f ca="1">MIN(1,OFFSET(TblMagic[[#This Row],[Wiz str]],-1,0)+0.04+ROUNDDOWN(10*OFFSET(TblMili[[#This Row],[WG''s]],-1,0),0)+ tech_2_7*OFFSET(TblTech[[#This Row],[2-7]],-1,0) + tech_5_6*OFFSET(TblTech[[#This Row],[5-6]],-1,0) )-TblMagic[[#This Row],[Wiz str cost]]</f>
        <v>1</v>
      </c>
      <c r="E76" s="432">
        <f ca="1">OFFSET(TblMagic[[#This Row],[Time]],-1,0)+1/24</f>
        <v>45817.999999999825</v>
      </c>
      <c r="F76" s="458">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8">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Row],[Demonic Pact]],12,IF(OFFSET(TblMagic[[#This Row],[Active Demonic Pact]],-1,0)&gt;0,OFFSET(TblMagic[[#This Row],[Active Demonic Pact]],-1,0)-1,0))</f>
        <v>0</v>
      </c>
    </row>
    <row r="77" spans="1:43" x14ac:dyDescent="0.2">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45818.04166666649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x14ac:dyDescent="0.2">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45818.083333333154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x14ac:dyDescent="0.2">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45818.124999999818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x14ac:dyDescent="0.2">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45818.166666666482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x14ac:dyDescent="0.2">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45818.208333333147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x14ac:dyDescent="0.2">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45818.249999999811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x14ac:dyDescent="0.2">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45818.291666666475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x14ac:dyDescent="0.2">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45818.333333333139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x14ac:dyDescent="0.2">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45818.374999999804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x14ac:dyDescent="0.2">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45818.416666666468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x14ac:dyDescent="0.2">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45818.458333333132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x14ac:dyDescent="0.2">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45818.499999999796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x14ac:dyDescent="0.2">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45818.541666666461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x14ac:dyDescent="0.2">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45818.583333333125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x14ac:dyDescent="0.2">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45818.624999999789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x14ac:dyDescent="0.2">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45818.666666666453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x14ac:dyDescent="0.2">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45818.708333333117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x14ac:dyDescent="0.2">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45818.749999999782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x14ac:dyDescent="0.2">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45818.791666666446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x14ac:dyDescent="0.2">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45818.83333333311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x14ac:dyDescent="0.2">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45818.874999999774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x14ac:dyDescent="0.2">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45818.916666666439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x14ac:dyDescent="0.2">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45818.958333333103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x14ac:dyDescent="0.2">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45818.999999999767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x14ac:dyDescent="0.2">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45819.041666666431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x14ac:dyDescent="0.2">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45819.083333333096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x14ac:dyDescent="0.2">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45819.12499999976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x14ac:dyDescent="0.2">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45819.166666666424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x14ac:dyDescent="0.2">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45819.208333333088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x14ac:dyDescent="0.2">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45819.249999999753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x14ac:dyDescent="0.2">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45819.291666666417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x14ac:dyDescent="0.2">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45819.333333333081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x14ac:dyDescent="0.2">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45819.374999999745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x14ac:dyDescent="0.2">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45819.41666666641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x14ac:dyDescent="0.2">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45819.458333333074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x14ac:dyDescent="0.2">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45819.499999999738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x14ac:dyDescent="0.2">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45819.541666666402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x14ac:dyDescent="0.2">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45819.583333333067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x14ac:dyDescent="0.2">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45819.624999999731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x14ac:dyDescent="0.2">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45819.666666666395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x14ac:dyDescent="0.2">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45819.708333333059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x14ac:dyDescent="0.2">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45819.749999999724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x14ac:dyDescent="0.2">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45819.791666666388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x14ac:dyDescent="0.2">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45819.833333333052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x14ac:dyDescent="0.2">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45819.874999999716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x14ac:dyDescent="0.2">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45819.91666666638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x14ac:dyDescent="0.2">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45819.958333333045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x14ac:dyDescent="0.2">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45819.999999999709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x14ac:dyDescent="0.2">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45820.041666666373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x14ac:dyDescent="0.2">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45820.083333333037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x14ac:dyDescent="0.2">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45820.124999999702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x14ac:dyDescent="0.2">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45820.166666666366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x14ac:dyDescent="0.2">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45820.20833333303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x14ac:dyDescent="0.2">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45820.249999999694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x14ac:dyDescent="0.2">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45820.291666666359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x14ac:dyDescent="0.2">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45820.333333333023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x14ac:dyDescent="0.2">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45820.374999999687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x14ac:dyDescent="0.2">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45820.416666666351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x14ac:dyDescent="0.2">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45820.458333333016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x14ac:dyDescent="0.2">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45820.49999999968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x14ac:dyDescent="0.2">
      <c r="C1269" s="531" t="s">
        <v>314</v>
      </c>
      <c r="D1269" s="487"/>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8" stopIfTrue="1">
      <formula>ROW()-2=#REF!</formula>
    </cfRule>
  </conditionalFormatting>
  <conditionalFormatting sqref="A1269:XFD1270">
    <cfRule type="expression" dxfId="268" priority="19"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$A4=49</formula>
    </cfRule>
    <cfRule type="expression" dxfId="264" priority="7">
      <formula>ROUND(($A4-1)/12,0)=INT($A4-1)/12</formula>
    </cfRule>
  </conditionalFormatting>
  <conditionalFormatting sqref="A2:N2 A1:S1 U1:XFD1 P2:XFD2 A3:XFD3">
    <cfRule type="expression" dxfId="263" priority="15">
      <formula>$C$1270&lt;0</formula>
    </cfRule>
  </conditionalFormatting>
  <conditionalFormatting sqref="G4:W136">
    <cfRule type="expression" dxfId="262"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50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50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50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50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50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50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50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50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50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50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50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50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50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50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50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50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50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50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50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50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50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50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50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50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50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50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50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50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50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50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50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50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50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50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50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50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50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50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50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50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50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50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50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50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50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50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50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50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50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50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50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50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50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50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50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50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1000</v>
      </c>
      <c r="Y1" s="28" t="s">
        <v>37</v>
      </c>
      <c r="Z1" s="28"/>
      <c r="AA1" s="28"/>
      <c r="AB1" s="28"/>
      <c r="AC1" s="28"/>
      <c r="AD1" s="28"/>
      <c r="AF1" s="532" t="s">
        <v>209</v>
      </c>
      <c r="AG1" s="532"/>
      <c r="AH1" s="28"/>
      <c r="AI1" s="28"/>
      <c r="AJ1" s="28"/>
      <c r="AK1" s="28"/>
      <c r="AM1" s="532" t="s">
        <v>217</v>
      </c>
      <c r="AN1" s="532"/>
      <c r="AO1" s="28"/>
      <c r="AP1" s="28"/>
      <c r="AR1" s="532" t="s">
        <v>218</v>
      </c>
      <c r="AS1" s="532"/>
      <c r="AT1" s="533"/>
      <c r="AU1" s="28"/>
      <c r="AW1" s="532" t="s">
        <v>219</v>
      </c>
      <c r="AX1" s="532"/>
      <c r="AY1" s="532"/>
      <c r="AZ1" s="28"/>
      <c r="BB1" s="532" t="s">
        <v>220</v>
      </c>
      <c r="BC1" s="532"/>
      <c r="BD1" s="532"/>
      <c r="BE1" s="532"/>
      <c r="BG1" s="532" t="s">
        <v>221</v>
      </c>
      <c r="BH1" s="532"/>
      <c r="BI1" s="532"/>
      <c r="BJ1" s="28"/>
      <c r="BL1" s="532" t="s">
        <v>222</v>
      </c>
      <c r="BM1" s="533"/>
      <c r="BN1" s="533"/>
      <c r="BO1" s="28"/>
      <c r="BQ1" s="532" t="s">
        <v>223</v>
      </c>
      <c r="BR1" s="532"/>
      <c r="BS1" s="532"/>
      <c r="BT1" s="28"/>
      <c r="BV1" s="5" t="s">
        <v>306</v>
      </c>
    </row>
    <row r="2" spans="1:84" s="5" customFormat="1" x14ac:dyDescent="0.2">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1032</v>
      </c>
      <c r="BL3" s="243" t="s">
        <v>953</v>
      </c>
      <c r="BM3" s="243" t="s">
        <v>954</v>
      </c>
      <c r="BN3" s="243" t="s">
        <v>955</v>
      </c>
      <c r="BO3" s="243" t="s">
        <v>956</v>
      </c>
      <c r="BP3" s="243" t="s">
        <v>1033</v>
      </c>
      <c r="BQ3" s="243" t="s">
        <v>957</v>
      </c>
      <c r="BR3" s="243" t="s">
        <v>958</v>
      </c>
      <c r="BS3" s="243" t="s">
        <v>959</v>
      </c>
      <c r="BT3" s="243" t="s">
        <v>960</v>
      </c>
      <c r="BU3" s="135" t="s">
        <v>1034</v>
      </c>
      <c r="BV3" s="282" t="s">
        <v>307</v>
      </c>
      <c r="BW3" s="135" t="s">
        <v>968</v>
      </c>
      <c r="BX3" s="135" t="s">
        <v>1035</v>
      </c>
      <c r="BY3" s="135" t="s">
        <v>969</v>
      </c>
      <c r="BZ3" s="135" t="s">
        <v>308</v>
      </c>
    </row>
    <row r="4" spans="1:84" x14ac:dyDescent="0.2">
      <c r="A4" s="214">
        <f ca="1">TblConstr[[#This Row],[Land]]</f>
        <v>50</v>
      </c>
      <c r="B4" s="142"/>
      <c r="C4" s="94">
        <f ca="1">TblProd[[#This Row],[Platinum]]</f>
        <v>120000</v>
      </c>
      <c r="D4" s="94">
        <f ca="1">TblProd[[#This Row],[Lumber]]</f>
        <v>15000</v>
      </c>
      <c r="E4" s="94">
        <f ca="1">TblProd[[#This Row],[Ore]]</f>
        <v>0</v>
      </c>
      <c r="F4" s="94">
        <f>TblProd[[#This Row],[Gems]]</f>
        <v>0</v>
      </c>
      <c r="G4" s="154"/>
      <c r="H4" s="94">
        <f ca="1">TblMili[[#This Row],[Draftees]]</f>
        <v>300</v>
      </c>
      <c r="I4" s="180">
        <f ca="1">TblPop[[#This Row],[Employment]]</f>
        <v>1</v>
      </c>
      <c r="J4" s="180">
        <f ca="1">TblPop[[#This Row],[Total]]/TblPop[[#This Row],[Net max]]</f>
        <v>1</v>
      </c>
      <c r="K4" s="283">
        <f>TblRezone[[#This Row],[Hour]]</f>
        <v>1</v>
      </c>
      <c r="L4" s="284">
        <f>TblImps[[#This Row],[Real time]]</f>
        <v>45815</v>
      </c>
      <c r="M4" s="61">
        <f>IF(ISERROR(TblImps[[#This Row],[algorithm]]),0,TblImps[[#This Row],[algorithm]]*1)</f>
        <v>0</v>
      </c>
      <c r="N4" s="94">
        <f ca="1">TblImps[[#This Row],[Land]]</f>
        <v>50</v>
      </c>
      <c r="O4" s="285" t="s">
        <v>4</v>
      </c>
      <c r="P4" s="286"/>
      <c r="Q4" s="285" t="s">
        <v>208</v>
      </c>
      <c r="R4" s="285" t="s">
        <v>7</v>
      </c>
      <c r="S4" s="286"/>
      <c r="T4" s="285" t="s">
        <v>208</v>
      </c>
      <c r="U4" s="285" t="s">
        <v>3</v>
      </c>
      <c r="V4" s="286"/>
      <c r="W4" s="285" t="s">
        <v>208</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45815</v>
      </c>
      <c r="BZ4" s="290">
        <f>Overview!B15</f>
        <v>45815</v>
      </c>
      <c r="CA4" s="57"/>
      <c r="CB4" s="291"/>
      <c r="CC4" s="292"/>
    </row>
    <row r="5" spans="1:84" x14ac:dyDescent="0.2">
      <c r="A5" s="214">
        <f ca="1">TblConstr[[#This Row],[Land]]</f>
        <v>50</v>
      </c>
      <c r="B5" s="142"/>
      <c r="C5" s="94">
        <f ca="1">TblProd[[#This Row],[Platinum]]</f>
        <v>121266</v>
      </c>
      <c r="D5" s="94">
        <f ca="1">TblProd[[#This Row],[Lumber]]</f>
        <v>15850</v>
      </c>
      <c r="E5" s="94">
        <f ca="1">TblProd[[#This Row],[Ore]]</f>
        <v>0</v>
      </c>
      <c r="F5" s="94">
        <f ca="1">TblProd[[#This Row],[Gems]]</f>
        <v>0</v>
      </c>
      <c r="G5" s="154"/>
      <c r="H5" s="94">
        <f ca="1">TblMili[[#This Row],[Draftees]]</f>
        <v>305</v>
      </c>
      <c r="I5" s="180">
        <f ca="1">TblPop[[#This Row],[Employment]]</f>
        <v>1</v>
      </c>
      <c r="J5" s="180">
        <f ca="1">TblPop[[#This Row],[Total]]/TblPop[[#This Row],[Net max]]</f>
        <v>1</v>
      </c>
      <c r="K5" s="283">
        <f>TblRezone[[#This Row],[Hour]]</f>
        <v>2</v>
      </c>
      <c r="L5" s="284">
        <f ca="1">TblImps[[#This Row],[Real time]]</f>
        <v>45815.041666666664</v>
      </c>
      <c r="M5" s="61">
        <f>IF(ISERROR(TblImps[[#This Row],[algorithm]]),0,TblImps[[#This Row],[algorithm]]*1)</f>
        <v>0</v>
      </c>
      <c r="N5" s="94">
        <f ca="1">TblImps[[#This Row],[Land]]</f>
        <v>50</v>
      </c>
      <c r="O5" s="285" t="s">
        <v>4</v>
      </c>
      <c r="P5" s="286"/>
      <c r="Q5" s="285" t="s">
        <v>210</v>
      </c>
      <c r="R5" s="285" t="s">
        <v>7</v>
      </c>
      <c r="S5" s="286"/>
      <c r="T5" s="285" t="s">
        <v>210</v>
      </c>
      <c r="U5" s="285" t="s">
        <v>3</v>
      </c>
      <c r="V5" s="286"/>
      <c r="W5" s="285"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45815.041666666664</v>
      </c>
      <c r="BZ5" s="294">
        <f ca="1">OFFSET(TblImps[[#This Row],[Servertime]],-1,0)+1/24</f>
        <v>45815.041666666664</v>
      </c>
      <c r="CA5" s="57"/>
      <c r="CB5" s="292"/>
      <c r="CC5" s="292"/>
    </row>
    <row r="6" spans="1:84" x14ac:dyDescent="0.2">
      <c r="A6" s="214">
        <f ca="1">TblConstr[[#This Row],[Land]]</f>
        <v>50</v>
      </c>
      <c r="B6" s="142"/>
      <c r="C6" s="94">
        <f ca="1">TblProd[[#This Row],[Platinum]]</f>
        <v>122518</v>
      </c>
      <c r="D6" s="94">
        <f ca="1">TblProd[[#This Row],[Lumber]]</f>
        <v>16692</v>
      </c>
      <c r="E6" s="94">
        <f ca="1">TblProd[[#This Row],[Ore]]</f>
        <v>0</v>
      </c>
      <c r="F6" s="94">
        <f ca="1">TblProd[[#This Row],[Gems]]</f>
        <v>0</v>
      </c>
      <c r="G6" s="154"/>
      <c r="H6" s="94">
        <f ca="1">TblMili[[#This Row],[Draftees]]</f>
        <v>310</v>
      </c>
      <c r="I6" s="180">
        <f ca="1">TblPop[[#This Row],[Employment]]</f>
        <v>1</v>
      </c>
      <c r="J6" s="180">
        <f ca="1">TblPop[[#This Row],[Total]]/TblPop[[#This Row],[Net max]]</f>
        <v>1</v>
      </c>
      <c r="K6" s="283">
        <f>TblRezone[[#This Row],[Hour]]</f>
        <v>3</v>
      </c>
      <c r="L6" s="284">
        <f ca="1">TblImps[[#This Row],[Real time]]</f>
        <v>45815.083333333328</v>
      </c>
      <c r="M6" s="61">
        <f>IF(ISERROR(TblImps[[#This Row],[algorithm]]),0,TblImps[[#This Row],[algorithm]]*1)</f>
        <v>0</v>
      </c>
      <c r="N6" s="94">
        <f ca="1">TblImps[[#This Row],[Land]]</f>
        <v>50</v>
      </c>
      <c r="O6" s="285" t="s">
        <v>4</v>
      </c>
      <c r="P6" s="286"/>
      <c r="Q6" s="285" t="s">
        <v>210</v>
      </c>
      <c r="R6" s="285" t="s">
        <v>7</v>
      </c>
      <c r="S6" s="286"/>
      <c r="T6" s="285" t="s">
        <v>210</v>
      </c>
      <c r="U6" s="285" t="s">
        <v>3</v>
      </c>
      <c r="V6" s="286"/>
      <c r="W6" s="285"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45815.083333333328</v>
      </c>
      <c r="BZ6" s="294">
        <f ca="1">OFFSET(TblImps[[#This Row],[Servertime]],-1,0)+1/24</f>
        <v>45815.083333333328</v>
      </c>
      <c r="CA6" s="57"/>
      <c r="CB6" s="292"/>
      <c r="CC6" s="292"/>
      <c r="CF6" s="295"/>
    </row>
    <row r="7" spans="1:84" x14ac:dyDescent="0.2">
      <c r="A7" s="214">
        <f ca="1">TblConstr[[#This Row],[Land]]</f>
        <v>50</v>
      </c>
      <c r="B7" s="142"/>
      <c r="C7" s="94">
        <f ca="1">TblProd[[#This Row],[Platinum]]</f>
        <v>123757</v>
      </c>
      <c r="D7" s="94">
        <f ca="1">TblProd[[#This Row],[Lumber]]</f>
        <v>17525</v>
      </c>
      <c r="E7" s="94">
        <f ca="1">TblProd[[#This Row],[Ore]]</f>
        <v>0</v>
      </c>
      <c r="F7" s="94">
        <f ca="1">TblProd[[#This Row],[Gems]]</f>
        <v>0</v>
      </c>
      <c r="G7" s="154"/>
      <c r="H7" s="94">
        <f ca="1">TblMili[[#This Row],[Draftees]]</f>
        <v>315</v>
      </c>
      <c r="I7" s="180">
        <f ca="1">TblPop[[#This Row],[Employment]]</f>
        <v>1</v>
      </c>
      <c r="J7" s="180">
        <f ca="1">TblPop[[#This Row],[Total]]/TblPop[[#This Row],[Net max]]</f>
        <v>1</v>
      </c>
      <c r="K7" s="283">
        <f>TblRezone[[#This Row],[Hour]]</f>
        <v>4</v>
      </c>
      <c r="L7" s="284">
        <f ca="1">TblImps[[#This Row],[Real time]]</f>
        <v>45815.124999999993</v>
      </c>
      <c r="M7" s="61">
        <f>IF(ISERROR(TblImps[[#This Row],[algorithm]]),0,TblImps[[#This Row],[algorithm]]*1)</f>
        <v>0</v>
      </c>
      <c r="N7" s="94">
        <f ca="1">TblImps[[#This Row],[Land]]</f>
        <v>50</v>
      </c>
      <c r="O7" s="285" t="s">
        <v>4</v>
      </c>
      <c r="P7" s="286"/>
      <c r="Q7" s="285" t="s">
        <v>210</v>
      </c>
      <c r="R7" s="285" t="s">
        <v>7</v>
      </c>
      <c r="S7" s="286"/>
      <c r="T7" s="285" t="s">
        <v>210</v>
      </c>
      <c r="U7" s="285" t="s">
        <v>3</v>
      </c>
      <c r="V7" s="286"/>
      <c r="W7" s="285"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45815.124999999993</v>
      </c>
      <c r="BZ7" s="294">
        <f ca="1">OFFSET(TblImps[[#This Row],[Servertime]],-1,0)+1/24</f>
        <v>45815.124999999993</v>
      </c>
      <c r="CA7" s="57"/>
      <c r="CB7" s="292"/>
      <c r="CC7" s="292"/>
      <c r="CF7" s="296"/>
    </row>
    <row r="8" spans="1:84" x14ac:dyDescent="0.2">
      <c r="A8" s="214">
        <f ca="1">TblConstr[[#This Row],[Land]]</f>
        <v>50</v>
      </c>
      <c r="B8" s="142"/>
      <c r="C8" s="94">
        <f ca="1">TblProd[[#This Row],[Platinum]]</f>
        <v>124982</v>
      </c>
      <c r="D8" s="94">
        <f ca="1">TblProd[[#This Row],[Lumber]]</f>
        <v>18350</v>
      </c>
      <c r="E8" s="94">
        <f ca="1">TblProd[[#This Row],[Ore]]</f>
        <v>0</v>
      </c>
      <c r="F8" s="94">
        <f ca="1">TblProd[[#This Row],[Gems]]</f>
        <v>0</v>
      </c>
      <c r="G8" s="154"/>
      <c r="H8" s="94">
        <f ca="1">TblMili[[#This Row],[Draftees]]</f>
        <v>320</v>
      </c>
      <c r="I8" s="180">
        <f ca="1">TblPop[[#This Row],[Employment]]</f>
        <v>1</v>
      </c>
      <c r="J8" s="180">
        <f ca="1">TblPop[[#This Row],[Total]]/TblPop[[#This Row],[Net max]]</f>
        <v>1</v>
      </c>
      <c r="K8" s="283">
        <f>TblRezone[[#This Row],[Hour]]</f>
        <v>5</v>
      </c>
      <c r="L8" s="284">
        <f ca="1">TblImps[[#This Row],[Real time]]</f>
        <v>45815.166666666657</v>
      </c>
      <c r="M8" s="61">
        <f>IF(ISERROR(TblImps[[#This Row],[algorithm]]),0,TblImps[[#This Row],[algorithm]]*1)</f>
        <v>0</v>
      </c>
      <c r="N8" s="94">
        <f ca="1">TblImps[[#This Row],[Land]]</f>
        <v>50</v>
      </c>
      <c r="O8" s="285" t="s">
        <v>4</v>
      </c>
      <c r="P8" s="286"/>
      <c r="Q8" s="285" t="s">
        <v>210</v>
      </c>
      <c r="R8" s="285" t="s">
        <v>7</v>
      </c>
      <c r="S8" s="286"/>
      <c r="T8" s="285" t="s">
        <v>210</v>
      </c>
      <c r="U8" s="285" t="s">
        <v>3</v>
      </c>
      <c r="V8" s="286"/>
      <c r="W8" s="285"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45815.166666666657</v>
      </c>
      <c r="BZ8" s="294">
        <f ca="1">OFFSET(TblImps[[#This Row],[Servertime]],-1,0)+1/24</f>
        <v>45815.166666666657</v>
      </c>
      <c r="CA8" s="57"/>
      <c r="CB8" s="292"/>
      <c r="CC8" s="292"/>
      <c r="CF8" s="295"/>
    </row>
    <row r="9" spans="1:84" x14ac:dyDescent="0.2">
      <c r="A9" s="214">
        <f ca="1">TblConstr[[#This Row],[Land]]</f>
        <v>50</v>
      </c>
      <c r="B9" s="142"/>
      <c r="C9" s="94">
        <f ca="1">TblProd[[#This Row],[Platinum]]</f>
        <v>126194</v>
      </c>
      <c r="D9" s="94">
        <f ca="1">TblProd[[#This Row],[Lumber]]</f>
        <v>19167</v>
      </c>
      <c r="E9" s="94">
        <f ca="1">TblProd[[#This Row],[Ore]]</f>
        <v>0</v>
      </c>
      <c r="F9" s="94">
        <f ca="1">TblProd[[#This Row],[Gems]]</f>
        <v>0</v>
      </c>
      <c r="G9" s="154"/>
      <c r="H9" s="94">
        <f ca="1">TblMili[[#This Row],[Draftees]]</f>
        <v>324</v>
      </c>
      <c r="I9" s="180">
        <f ca="1">TblPop[[#This Row],[Employment]]</f>
        <v>1</v>
      </c>
      <c r="J9" s="180">
        <f ca="1">TblPop[[#This Row],[Total]]/TblPop[[#This Row],[Net max]]</f>
        <v>1</v>
      </c>
      <c r="K9" s="283">
        <f>TblRezone[[#This Row],[Hour]]</f>
        <v>6</v>
      </c>
      <c r="L9" s="284">
        <f ca="1">TblImps[[#This Row],[Real time]]</f>
        <v>45815.208333333321</v>
      </c>
      <c r="M9" s="61">
        <f>IF(ISERROR(TblImps[[#This Row],[algorithm]]),0,TblImps[[#This Row],[algorithm]]*1)</f>
        <v>0</v>
      </c>
      <c r="N9" s="94">
        <f ca="1">TblImps[[#This Row],[Land]]</f>
        <v>50</v>
      </c>
      <c r="O9" s="285" t="s">
        <v>4</v>
      </c>
      <c r="P9" s="286"/>
      <c r="Q9" s="285" t="s">
        <v>210</v>
      </c>
      <c r="R9" s="285" t="s">
        <v>7</v>
      </c>
      <c r="S9" s="286"/>
      <c r="T9" s="285" t="s">
        <v>210</v>
      </c>
      <c r="U9" s="285" t="s">
        <v>3</v>
      </c>
      <c r="V9" s="286"/>
      <c r="W9" s="285"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45815.208333333321</v>
      </c>
      <c r="BZ9" s="294">
        <f ca="1">OFFSET(TblImps[[#This Row],[Servertime]],-1,0)+1/24</f>
        <v>45815.208333333321</v>
      </c>
      <c r="CA9" s="57"/>
      <c r="CB9" s="292"/>
      <c r="CC9" s="292"/>
      <c r="CF9" s="295"/>
    </row>
    <row r="10" spans="1:84" x14ac:dyDescent="0.2">
      <c r="A10" s="214">
        <f ca="1">TblConstr[[#This Row],[Land]]</f>
        <v>50</v>
      </c>
      <c r="B10" s="142"/>
      <c r="C10" s="94">
        <f ca="1">TblProd[[#This Row],[Platinum]]</f>
        <v>127395</v>
      </c>
      <c r="D10" s="94">
        <f ca="1">TblProd[[#This Row],[Lumber]]</f>
        <v>19975</v>
      </c>
      <c r="E10" s="94">
        <f ca="1">TblProd[[#This Row],[Ore]]</f>
        <v>0</v>
      </c>
      <c r="F10" s="94">
        <f ca="1">TblProd[[#This Row],[Gems]]</f>
        <v>0</v>
      </c>
      <c r="G10" s="154"/>
      <c r="H10" s="94">
        <f ca="1">TblMili[[#This Row],[Draftees]]</f>
        <v>328</v>
      </c>
      <c r="I10" s="180">
        <f ca="1">TblPop[[#This Row],[Employment]]</f>
        <v>1</v>
      </c>
      <c r="J10" s="180">
        <f ca="1">TblPop[[#This Row],[Total]]/TblPop[[#This Row],[Net max]]</f>
        <v>1</v>
      </c>
      <c r="K10" s="283">
        <f>TblRezone[[#This Row],[Hour]]</f>
        <v>7</v>
      </c>
      <c r="L10" s="284">
        <f ca="1">TblImps[[#This Row],[Real time]]</f>
        <v>45815.249999999985</v>
      </c>
      <c r="M10" s="61">
        <f>IF(ISERROR(TblImps[[#This Row],[algorithm]]),0,TblImps[[#This Row],[algorithm]]*1)</f>
        <v>0</v>
      </c>
      <c r="N10" s="94">
        <f ca="1">TblImps[[#This Row],[Land]]</f>
        <v>50</v>
      </c>
      <c r="O10" s="285" t="s">
        <v>4</v>
      </c>
      <c r="P10" s="286"/>
      <c r="Q10" s="285" t="s">
        <v>210</v>
      </c>
      <c r="R10" s="285" t="s">
        <v>7</v>
      </c>
      <c r="S10" s="286"/>
      <c r="T10" s="285" t="s">
        <v>210</v>
      </c>
      <c r="U10" s="285" t="s">
        <v>3</v>
      </c>
      <c r="V10" s="286"/>
      <c r="W10" s="285"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45815.249999999985</v>
      </c>
      <c r="BZ10" s="294">
        <f ca="1">OFFSET(TblImps[[#This Row],[Servertime]],-1,0)+1/24</f>
        <v>45815.249999999985</v>
      </c>
      <c r="CA10" s="57"/>
      <c r="CB10" s="292"/>
      <c r="CC10" s="292"/>
    </row>
    <row r="11" spans="1:84" x14ac:dyDescent="0.2">
      <c r="A11" s="214">
        <f ca="1">TblConstr[[#This Row],[Land]]</f>
        <v>50</v>
      </c>
      <c r="B11" s="142"/>
      <c r="C11" s="94">
        <f ca="1">TblProd[[#This Row],[Platinum]]</f>
        <v>128585</v>
      </c>
      <c r="D11" s="94">
        <f ca="1">TblProd[[#This Row],[Lumber]]</f>
        <v>20775</v>
      </c>
      <c r="E11" s="94">
        <f ca="1">TblProd[[#This Row],[Ore]]</f>
        <v>0</v>
      </c>
      <c r="F11" s="94">
        <f ca="1">TblProd[[#This Row],[Gems]]</f>
        <v>0</v>
      </c>
      <c r="G11" s="154"/>
      <c r="H11" s="94">
        <f ca="1">TblMili[[#This Row],[Draftees]]</f>
        <v>332</v>
      </c>
      <c r="I11" s="180">
        <f ca="1">TblPop[[#This Row],[Employment]]</f>
        <v>1</v>
      </c>
      <c r="J11" s="180">
        <f ca="1">TblPop[[#This Row],[Total]]/TblPop[[#This Row],[Net max]]</f>
        <v>1</v>
      </c>
      <c r="K11" s="283">
        <f>TblRezone[[#This Row],[Hour]]</f>
        <v>8</v>
      </c>
      <c r="L11" s="284">
        <f ca="1">TblImps[[#This Row],[Real time]]</f>
        <v>45815.29166666665</v>
      </c>
      <c r="M11" s="61">
        <f>IF(ISERROR(TblImps[[#This Row],[algorithm]]),0,TblImps[[#This Row],[algorithm]]*1)</f>
        <v>0</v>
      </c>
      <c r="N11" s="94">
        <f ca="1">TblImps[[#This Row],[Land]]</f>
        <v>50</v>
      </c>
      <c r="O11" s="285" t="s">
        <v>4</v>
      </c>
      <c r="P11" s="286"/>
      <c r="Q11" s="285" t="s">
        <v>210</v>
      </c>
      <c r="R11" s="285" t="s">
        <v>7</v>
      </c>
      <c r="S11" s="286"/>
      <c r="T11" s="285" t="s">
        <v>210</v>
      </c>
      <c r="U11" s="285" t="s">
        <v>3</v>
      </c>
      <c r="V11" s="286"/>
      <c r="W11" s="285"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45815.29166666665</v>
      </c>
      <c r="BZ11" s="294">
        <f ca="1">OFFSET(TblImps[[#This Row],[Servertime]],-1,0)+1/24</f>
        <v>45815.29166666665</v>
      </c>
      <c r="CA11" s="57"/>
      <c r="CB11" s="292"/>
      <c r="CC11" s="292"/>
    </row>
    <row r="12" spans="1:84" x14ac:dyDescent="0.2">
      <c r="A12" s="214">
        <f ca="1">TblConstr[[#This Row],[Land]]</f>
        <v>50</v>
      </c>
      <c r="B12" s="142"/>
      <c r="C12" s="94">
        <f ca="1">TblProd[[#This Row],[Platinum]]</f>
        <v>129764</v>
      </c>
      <c r="D12" s="94">
        <f ca="1">TblProd[[#This Row],[Lumber]]</f>
        <v>21567</v>
      </c>
      <c r="E12" s="94">
        <f ca="1">TblProd[[#This Row],[Ore]]</f>
        <v>0</v>
      </c>
      <c r="F12" s="94">
        <f ca="1">TblProd[[#This Row],[Gems]]</f>
        <v>0</v>
      </c>
      <c r="G12" s="154"/>
      <c r="H12" s="94">
        <f ca="1">TblMili[[#This Row],[Draftees]]</f>
        <v>336</v>
      </c>
      <c r="I12" s="180">
        <f ca="1">TblPop[[#This Row],[Employment]]</f>
        <v>1</v>
      </c>
      <c r="J12" s="180">
        <f ca="1">TblPop[[#This Row],[Total]]/TblPop[[#This Row],[Net max]]</f>
        <v>1</v>
      </c>
      <c r="K12" s="283">
        <f>TblRezone[[#This Row],[Hour]]</f>
        <v>9</v>
      </c>
      <c r="L12" s="284">
        <f ca="1">TblImps[[#This Row],[Real time]]</f>
        <v>45815.333333333314</v>
      </c>
      <c r="M12" s="61">
        <f>IF(ISERROR(TblImps[[#This Row],[algorithm]]),0,TblImps[[#This Row],[algorithm]]*1)</f>
        <v>0</v>
      </c>
      <c r="N12" s="94">
        <f ca="1">TblImps[[#This Row],[Land]]</f>
        <v>50</v>
      </c>
      <c r="O12" s="285" t="s">
        <v>4</v>
      </c>
      <c r="P12" s="286"/>
      <c r="Q12" s="285" t="s">
        <v>210</v>
      </c>
      <c r="R12" s="285" t="s">
        <v>7</v>
      </c>
      <c r="S12" s="286"/>
      <c r="T12" s="285" t="s">
        <v>210</v>
      </c>
      <c r="U12" s="285" t="s">
        <v>3</v>
      </c>
      <c r="V12" s="286"/>
      <c r="W12" s="285"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45815.333333333314</v>
      </c>
      <c r="BZ12" s="294">
        <f ca="1">OFFSET(TblImps[[#This Row],[Servertime]],-1,0)+1/24</f>
        <v>45815.333333333314</v>
      </c>
      <c r="CA12" s="57"/>
      <c r="CB12" s="292"/>
      <c r="CC12" s="292"/>
    </row>
    <row r="13" spans="1:84" x14ac:dyDescent="0.2">
      <c r="A13" s="214">
        <f ca="1">TblConstr[[#This Row],[Land]]</f>
        <v>50</v>
      </c>
      <c r="B13" s="142"/>
      <c r="C13" s="94">
        <f ca="1">TblProd[[#This Row],[Platinum]]</f>
        <v>130933</v>
      </c>
      <c r="D13" s="94">
        <f ca="1">TblProd[[#This Row],[Lumber]]</f>
        <v>22351</v>
      </c>
      <c r="E13" s="94">
        <f ca="1">TblProd[[#This Row],[Ore]]</f>
        <v>0</v>
      </c>
      <c r="F13" s="94">
        <f ca="1">TblProd[[#This Row],[Gems]]</f>
        <v>0</v>
      </c>
      <c r="G13" s="154"/>
      <c r="H13" s="94">
        <f ca="1">TblMili[[#This Row],[Draftees]]</f>
        <v>340</v>
      </c>
      <c r="I13" s="180">
        <f ca="1">TblPop[[#This Row],[Employment]]</f>
        <v>1</v>
      </c>
      <c r="J13" s="180">
        <f ca="1">TblPop[[#This Row],[Total]]/TblPop[[#This Row],[Net max]]</f>
        <v>1</v>
      </c>
      <c r="K13" s="283">
        <f>TblRezone[[#This Row],[Hour]]</f>
        <v>10</v>
      </c>
      <c r="L13" s="284">
        <f ca="1">TblImps[[#This Row],[Real time]]</f>
        <v>45815.374999999978</v>
      </c>
      <c r="M13" s="61">
        <f>IF(ISERROR(TblImps[[#This Row],[algorithm]]),0,TblImps[[#This Row],[algorithm]]*1)</f>
        <v>0</v>
      </c>
      <c r="N13" s="94">
        <f ca="1">TblImps[[#This Row],[Land]]</f>
        <v>50</v>
      </c>
      <c r="O13" s="285" t="s">
        <v>4</v>
      </c>
      <c r="P13" s="286"/>
      <c r="Q13" s="285" t="s">
        <v>210</v>
      </c>
      <c r="R13" s="285" t="s">
        <v>7</v>
      </c>
      <c r="S13" s="286"/>
      <c r="T13" s="285" t="s">
        <v>210</v>
      </c>
      <c r="U13" s="285" t="s">
        <v>3</v>
      </c>
      <c r="V13" s="286"/>
      <c r="W13" s="285"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45815.374999999978</v>
      </c>
      <c r="BZ13" s="294">
        <f ca="1">OFFSET(TblImps[[#This Row],[Servertime]],-1,0)+1/24</f>
        <v>45815.374999999978</v>
      </c>
      <c r="CA13" s="57"/>
      <c r="CB13" s="292"/>
      <c r="CC13" s="292"/>
    </row>
    <row r="14" spans="1:84" x14ac:dyDescent="0.2">
      <c r="A14" s="214">
        <f ca="1">TblConstr[[#This Row],[Land]]</f>
        <v>50</v>
      </c>
      <c r="B14" s="142"/>
      <c r="C14" s="94">
        <f ca="1">TblProd[[#This Row],[Platinum]]</f>
        <v>132091</v>
      </c>
      <c r="D14" s="94">
        <f ca="1">TblProd[[#This Row],[Lumber]]</f>
        <v>23127</v>
      </c>
      <c r="E14" s="94">
        <f ca="1">TblProd[[#This Row],[Ore]]</f>
        <v>0</v>
      </c>
      <c r="F14" s="94">
        <f ca="1">TblProd[[#This Row],[Gems]]</f>
        <v>0</v>
      </c>
      <c r="G14" s="154"/>
      <c r="H14" s="94">
        <f ca="1">TblMili[[#This Row],[Draftees]]</f>
        <v>344</v>
      </c>
      <c r="I14" s="180">
        <f ca="1">TblPop[[#This Row],[Employment]]</f>
        <v>1</v>
      </c>
      <c r="J14" s="180">
        <f ca="1">TblPop[[#This Row],[Total]]/TblPop[[#This Row],[Net max]]</f>
        <v>1</v>
      </c>
      <c r="K14" s="283">
        <f>TblRezone[[#This Row],[Hour]]</f>
        <v>11</v>
      </c>
      <c r="L14" s="284">
        <f ca="1">TblImps[[#This Row],[Real time]]</f>
        <v>45815.416666666642</v>
      </c>
      <c r="M14" s="61">
        <f>IF(ISERROR(TblImps[[#This Row],[algorithm]]),0,TblImps[[#This Row],[algorithm]]*1)</f>
        <v>0</v>
      </c>
      <c r="N14" s="94">
        <f ca="1">TblImps[[#This Row],[Land]]</f>
        <v>50</v>
      </c>
      <c r="O14" s="285" t="s">
        <v>4</v>
      </c>
      <c r="P14" s="286"/>
      <c r="Q14" s="285" t="s">
        <v>210</v>
      </c>
      <c r="R14" s="285" t="s">
        <v>7</v>
      </c>
      <c r="S14" s="286"/>
      <c r="T14" s="285" t="s">
        <v>210</v>
      </c>
      <c r="U14" s="285" t="s">
        <v>3</v>
      </c>
      <c r="V14" s="286"/>
      <c r="W14" s="285"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45815.416666666642</v>
      </c>
      <c r="BZ14" s="294">
        <f ca="1">OFFSET(TblImps[[#This Row],[Servertime]],-1,0)+1/24</f>
        <v>45815.416666666642</v>
      </c>
      <c r="CA14" s="57"/>
      <c r="CB14" s="292"/>
      <c r="CC14" s="292"/>
    </row>
    <row r="15" spans="1:84" x14ac:dyDescent="0.2">
      <c r="A15" s="214">
        <f ca="1">TblConstr[[#This Row],[Land]]</f>
        <v>50</v>
      </c>
      <c r="B15" s="142"/>
      <c r="C15" s="94">
        <f ca="1">TblProd[[#This Row],[Platinum]]</f>
        <v>133238</v>
      </c>
      <c r="D15" s="94">
        <f ca="1">TblProd[[#This Row],[Lumber]]</f>
        <v>23896</v>
      </c>
      <c r="E15" s="94">
        <f ca="1">TblProd[[#This Row],[Ore]]</f>
        <v>0</v>
      </c>
      <c r="F15" s="94">
        <f ca="1">TblProd[[#This Row],[Gems]]</f>
        <v>0</v>
      </c>
      <c r="G15" s="154"/>
      <c r="H15" s="94">
        <f ca="1">TblMili[[#This Row],[Draftees]]</f>
        <v>348</v>
      </c>
      <c r="I15" s="180">
        <f ca="1">TblPop[[#This Row],[Employment]]</f>
        <v>1</v>
      </c>
      <c r="J15" s="180">
        <f ca="1">TblPop[[#This Row],[Total]]/TblPop[[#This Row],[Net max]]</f>
        <v>1</v>
      </c>
      <c r="K15" s="283">
        <f>TblRezone[[#This Row],[Hour]]</f>
        <v>12</v>
      </c>
      <c r="L15" s="284">
        <f ca="1">TblImps[[#This Row],[Real time]]</f>
        <v>45815.458333333307</v>
      </c>
      <c r="M15" s="61">
        <f>IF(ISERROR(TblImps[[#This Row],[algorithm]]),0,TblImps[[#This Row],[algorithm]]*1)</f>
        <v>0</v>
      </c>
      <c r="N15" s="94">
        <f ca="1">TblImps[[#This Row],[Land]]</f>
        <v>50</v>
      </c>
      <c r="O15" s="285" t="s">
        <v>4</v>
      </c>
      <c r="P15" s="286"/>
      <c r="Q15" s="285" t="s">
        <v>210</v>
      </c>
      <c r="R15" s="285" t="s">
        <v>7</v>
      </c>
      <c r="S15" s="286"/>
      <c r="T15" s="285" t="s">
        <v>210</v>
      </c>
      <c r="U15" s="285" t="s">
        <v>3</v>
      </c>
      <c r="V15" s="286"/>
      <c r="W15" s="285"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45815.458333333307</v>
      </c>
      <c r="BZ15" s="294">
        <f ca="1">OFFSET(TblImps[[#This Row],[Servertime]],-1,0)+1/24</f>
        <v>45815.458333333307</v>
      </c>
      <c r="CA15" s="57"/>
      <c r="CB15" s="292"/>
      <c r="CC15" s="292"/>
    </row>
    <row r="16" spans="1:84" x14ac:dyDescent="0.2">
      <c r="A16" s="214">
        <f ca="1">TblConstr[[#This Row],[Land]]</f>
        <v>50</v>
      </c>
      <c r="B16" s="142"/>
      <c r="C16" s="94">
        <f ca="1">TblProd[[#This Row],[Platinum]]</f>
        <v>134374</v>
      </c>
      <c r="D16" s="94">
        <f ca="1">TblProd[[#This Row],[Lumber]]</f>
        <v>24657</v>
      </c>
      <c r="E16" s="94">
        <f ca="1">TblProd[[#This Row],[Ore]]</f>
        <v>0</v>
      </c>
      <c r="F16" s="94">
        <f ca="1">TblProd[[#This Row],[Gems]]</f>
        <v>0</v>
      </c>
      <c r="G16" s="154"/>
      <c r="H16" s="94">
        <f ca="1">TblMili[[#This Row],[Draftees]]</f>
        <v>352</v>
      </c>
      <c r="I16" s="180">
        <f ca="1">TblPop[[#This Row],[Employment]]</f>
        <v>1</v>
      </c>
      <c r="J16" s="180">
        <f ca="1">TblPop[[#This Row],[Total]]/TblPop[[#This Row],[Net max]]</f>
        <v>1</v>
      </c>
      <c r="K16" s="283">
        <f>TblRezone[[#This Row],[Hour]]</f>
        <v>13</v>
      </c>
      <c r="L16" s="284">
        <f ca="1">TblImps[[#This Row],[Real time]]</f>
        <v>45815.499999999971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45815.499999999971</v>
      </c>
      <c r="BZ16" s="294">
        <f ca="1">OFFSET(TblImps[[#This Row],[Servertime]],-1,0)+1/24</f>
        <v>45815.499999999971</v>
      </c>
      <c r="CA16" s="57"/>
      <c r="CB16" s="292"/>
      <c r="CC16" s="292"/>
    </row>
    <row r="17" spans="1:84" x14ac:dyDescent="0.2">
      <c r="A17" s="214">
        <f ca="1">TblConstr[[#This Row],[Land]]</f>
        <v>50</v>
      </c>
      <c r="B17" s="142"/>
      <c r="C17" s="94">
        <f ca="1">TblProd[[#This Row],[Platinum]]</f>
        <v>135499</v>
      </c>
      <c r="D17" s="94">
        <f ca="1">TblProd[[#This Row],[Lumber]]</f>
        <v>25410</v>
      </c>
      <c r="E17" s="94">
        <f ca="1">TblProd[[#This Row],[Ore]]</f>
        <v>0</v>
      </c>
      <c r="F17" s="94">
        <f ca="1">TblProd[[#This Row],[Gems]]</f>
        <v>0</v>
      </c>
      <c r="G17" s="154"/>
      <c r="H17" s="94">
        <f ca="1">TblMili[[#This Row],[Draftees]]</f>
        <v>356</v>
      </c>
      <c r="I17" s="180">
        <f ca="1">TblPop[[#This Row],[Employment]]</f>
        <v>1</v>
      </c>
      <c r="J17" s="180">
        <f ca="1">TblPop[[#This Row],[Total]]/TblPop[[#This Row],[Net max]]</f>
        <v>1</v>
      </c>
      <c r="K17" s="283">
        <f>TblRezone[[#This Row],[Hour]]</f>
        <v>14</v>
      </c>
      <c r="L17" s="284">
        <f ca="1">TblImps[[#This Row],[Real time]]</f>
        <v>45815.541666666635</v>
      </c>
      <c r="M17" s="61">
        <f>IF(ISERROR(TblImps[[#This Row],[algorithm]]),0,TblImps[[#This Row],[algorithm]]*1)</f>
        <v>0</v>
      </c>
      <c r="N17" s="94">
        <f ca="1">TblImps[[#This Row],[Land]]</f>
        <v>50</v>
      </c>
      <c r="O17" s="285" t="s">
        <v>4</v>
      </c>
      <c r="P17" s="286"/>
      <c r="Q17" s="285" t="s">
        <v>210</v>
      </c>
      <c r="R17" s="285" t="s">
        <v>7</v>
      </c>
      <c r="S17" s="286"/>
      <c r="T17" s="285" t="s">
        <v>210</v>
      </c>
      <c r="U17" s="285" t="s">
        <v>3</v>
      </c>
      <c r="V17" s="286"/>
      <c r="W17" s="285"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45815.541666666635</v>
      </c>
      <c r="BZ17" s="294">
        <f ca="1">OFFSET(TblImps[[#This Row],[Servertime]],-1,0)+1/24</f>
        <v>45815.541666666635</v>
      </c>
      <c r="CA17" s="57"/>
      <c r="CB17" s="292"/>
      <c r="CC17" s="292"/>
      <c r="CD17" s="159"/>
    </row>
    <row r="18" spans="1:84" x14ac:dyDescent="0.2">
      <c r="A18" s="214">
        <f ca="1">TblConstr[[#This Row],[Land]]</f>
        <v>50</v>
      </c>
      <c r="B18" s="142"/>
      <c r="C18" s="94">
        <f ca="1">TblProd[[#This Row],[Platinum]]</f>
        <v>136614</v>
      </c>
      <c r="D18" s="94">
        <f ca="1">TblProd[[#This Row],[Lumber]]</f>
        <v>26156</v>
      </c>
      <c r="E18" s="94">
        <f ca="1">TblProd[[#This Row],[Ore]]</f>
        <v>0</v>
      </c>
      <c r="F18" s="94">
        <f ca="1">TblProd[[#This Row],[Gems]]</f>
        <v>0</v>
      </c>
      <c r="G18" s="154"/>
      <c r="H18" s="94">
        <f ca="1">TblMili[[#This Row],[Draftees]]</f>
        <v>360</v>
      </c>
      <c r="I18" s="180">
        <f ca="1">TblPop[[#This Row],[Employment]]</f>
        <v>1</v>
      </c>
      <c r="J18" s="180">
        <f ca="1">TblPop[[#This Row],[Total]]/TblPop[[#This Row],[Net max]]</f>
        <v>1</v>
      </c>
      <c r="K18" s="283">
        <f>TblRezone[[#This Row],[Hour]]</f>
        <v>15</v>
      </c>
      <c r="L18" s="284">
        <f ca="1">TblImps[[#This Row],[Real time]]</f>
        <v>45815.583333333299</v>
      </c>
      <c r="M18" s="61">
        <f>IF(ISERROR(TblImps[[#This Row],[algorithm]]),0,TblImps[[#This Row],[algorithm]]*1)</f>
        <v>0</v>
      </c>
      <c r="N18" s="94">
        <f ca="1">TblImps[[#This Row],[Land]]</f>
        <v>50</v>
      </c>
      <c r="O18" s="285" t="s">
        <v>4</v>
      </c>
      <c r="P18" s="286"/>
      <c r="Q18" s="285" t="s">
        <v>210</v>
      </c>
      <c r="R18" s="285" t="s">
        <v>7</v>
      </c>
      <c r="S18" s="286"/>
      <c r="T18" s="285" t="s">
        <v>210</v>
      </c>
      <c r="U18" s="285" t="s">
        <v>3</v>
      </c>
      <c r="V18" s="286"/>
      <c r="W18" s="285"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45815.583333333299</v>
      </c>
      <c r="BZ18" s="294">
        <f ca="1">OFFSET(TblImps[[#This Row],[Servertime]],-1,0)+1/24</f>
        <v>45815.583333333299</v>
      </c>
      <c r="CA18" s="297"/>
      <c r="CB18" s="292"/>
      <c r="CC18" s="292"/>
      <c r="CF18" s="295"/>
    </row>
    <row r="19" spans="1:84" x14ac:dyDescent="0.2">
      <c r="A19" s="214">
        <f ca="1">TblConstr[[#This Row],[Land]]</f>
        <v>50</v>
      </c>
      <c r="B19" s="142"/>
      <c r="C19" s="94">
        <f ca="1">TblProd[[#This Row],[Platinum]]</f>
        <v>137718</v>
      </c>
      <c r="D19" s="94">
        <f ca="1">TblProd[[#This Row],[Lumber]]</f>
        <v>26894</v>
      </c>
      <c r="E19" s="94">
        <f ca="1">TblProd[[#This Row],[Ore]]</f>
        <v>0</v>
      </c>
      <c r="F19" s="94">
        <f ca="1">TblProd[[#This Row],[Gems]]</f>
        <v>0</v>
      </c>
      <c r="G19" s="154"/>
      <c r="H19" s="94">
        <f ca="1">TblMili[[#This Row],[Draftees]]</f>
        <v>364</v>
      </c>
      <c r="I19" s="180">
        <f ca="1">TblPop[[#This Row],[Employment]]</f>
        <v>1</v>
      </c>
      <c r="J19" s="180">
        <f ca="1">TblPop[[#This Row],[Total]]/TblPop[[#This Row],[Net max]]</f>
        <v>1</v>
      </c>
      <c r="K19" s="283">
        <f>TblRezone[[#This Row],[Hour]]</f>
        <v>16</v>
      </c>
      <c r="L19" s="284">
        <f ca="1">TblImps[[#This Row],[Real time]]</f>
        <v>45815.624999999964</v>
      </c>
      <c r="M19" s="61">
        <f>IF(ISERROR(TblImps[[#This Row],[algorithm]]),0,TblImps[[#This Row],[algorithm]]*1)</f>
        <v>0</v>
      </c>
      <c r="N19" s="94">
        <f ca="1">TblImps[[#This Row],[Land]]</f>
        <v>50</v>
      </c>
      <c r="O19" s="285" t="s">
        <v>4</v>
      </c>
      <c r="P19" s="286"/>
      <c r="Q19" s="285" t="s">
        <v>210</v>
      </c>
      <c r="R19" s="285" t="s">
        <v>7</v>
      </c>
      <c r="S19" s="286"/>
      <c r="T19" s="285" t="s">
        <v>210</v>
      </c>
      <c r="U19" s="285" t="s">
        <v>3</v>
      </c>
      <c r="V19" s="286"/>
      <c r="W19" s="285"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45815.624999999964</v>
      </c>
      <c r="BZ19" s="294">
        <f ca="1">OFFSET(TblImps[[#This Row],[Servertime]],-1,0)+1/24</f>
        <v>45815.624999999964</v>
      </c>
      <c r="CA19" s="57"/>
      <c r="CB19" s="292"/>
      <c r="CC19" s="292"/>
      <c r="CF19" s="296"/>
    </row>
    <row r="20" spans="1:84" x14ac:dyDescent="0.2">
      <c r="A20" s="214">
        <f ca="1">TblConstr[[#This Row],[Land]]</f>
        <v>50</v>
      </c>
      <c r="B20" s="142"/>
      <c r="C20" s="94">
        <f ca="1">TblProd[[#This Row],[Platinum]]</f>
        <v>138811</v>
      </c>
      <c r="D20" s="94">
        <f ca="1">TblProd[[#This Row],[Lumber]]</f>
        <v>27625</v>
      </c>
      <c r="E20" s="94">
        <f ca="1">TblProd[[#This Row],[Ore]]</f>
        <v>0</v>
      </c>
      <c r="F20" s="94">
        <f ca="1">TblProd[[#This Row],[Gems]]</f>
        <v>0</v>
      </c>
      <c r="G20" s="154"/>
      <c r="H20" s="94">
        <f ca="1">TblMili[[#This Row],[Draftees]]</f>
        <v>368</v>
      </c>
      <c r="I20" s="180">
        <f ca="1">TblPop[[#This Row],[Employment]]</f>
        <v>1</v>
      </c>
      <c r="J20" s="180">
        <f ca="1">TblPop[[#This Row],[Total]]/TblPop[[#This Row],[Net max]]</f>
        <v>1</v>
      </c>
      <c r="K20" s="283">
        <f>TblRezone[[#This Row],[Hour]]</f>
        <v>17</v>
      </c>
      <c r="L20" s="284">
        <f ca="1">TblImps[[#This Row],[Real time]]</f>
        <v>45815.666666666628</v>
      </c>
      <c r="M20" s="61">
        <f>IF(ISERROR(TblImps[[#This Row],[algorithm]]),0,TblImps[[#This Row],[algorithm]]*1)</f>
        <v>0</v>
      </c>
      <c r="N20" s="94">
        <f ca="1">TblImps[[#This Row],[Land]]</f>
        <v>50</v>
      </c>
      <c r="O20" s="285" t="s">
        <v>4</v>
      </c>
      <c r="P20" s="286"/>
      <c r="Q20" s="285" t="s">
        <v>210</v>
      </c>
      <c r="R20" s="285" t="s">
        <v>7</v>
      </c>
      <c r="S20" s="286"/>
      <c r="T20" s="285" t="s">
        <v>210</v>
      </c>
      <c r="U20" s="285" t="s">
        <v>3</v>
      </c>
      <c r="V20" s="286"/>
      <c r="W20" s="285"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45815.666666666628</v>
      </c>
      <c r="BZ20" s="294">
        <f ca="1">OFFSET(TblImps[[#This Row],[Servertime]],-1,0)+1/24</f>
        <v>45815.666666666628</v>
      </c>
      <c r="CA20" s="57"/>
      <c r="CB20" s="292"/>
      <c r="CC20" s="292"/>
      <c r="CF20" s="295"/>
    </row>
    <row r="21" spans="1:84" x14ac:dyDescent="0.2">
      <c r="A21" s="214">
        <f ca="1">TblConstr[[#This Row],[Land]]</f>
        <v>50</v>
      </c>
      <c r="B21" s="142"/>
      <c r="C21" s="94">
        <f ca="1">TblProd[[#This Row],[Platinum]]</f>
        <v>139893</v>
      </c>
      <c r="D21" s="94">
        <f ca="1">TblProd[[#This Row],[Lumber]]</f>
        <v>28349</v>
      </c>
      <c r="E21" s="94">
        <f ca="1">TblProd[[#This Row],[Ore]]</f>
        <v>0</v>
      </c>
      <c r="F21" s="94">
        <f ca="1">TblProd[[#This Row],[Gems]]</f>
        <v>0</v>
      </c>
      <c r="G21" s="154"/>
      <c r="H21" s="94">
        <f ca="1">TblMili[[#This Row],[Draftees]]</f>
        <v>372</v>
      </c>
      <c r="I21" s="180">
        <f ca="1">TblPop[[#This Row],[Employment]]</f>
        <v>1</v>
      </c>
      <c r="J21" s="180">
        <f ca="1">TblPop[[#This Row],[Total]]/TblPop[[#This Row],[Net max]]</f>
        <v>1</v>
      </c>
      <c r="K21" s="283">
        <f>TblRezone[[#This Row],[Hour]]</f>
        <v>18</v>
      </c>
      <c r="L21" s="284">
        <f ca="1">TblImps[[#This Row],[Real time]]</f>
        <v>45815.708333333292</v>
      </c>
      <c r="M21" s="61">
        <f>IF(ISERROR(TblImps[[#This Row],[algorithm]]),0,TblImps[[#This Row],[algorithm]]*1)</f>
        <v>0</v>
      </c>
      <c r="N21" s="94">
        <f ca="1">TblImps[[#This Row],[Land]]</f>
        <v>50</v>
      </c>
      <c r="O21" s="285" t="s">
        <v>4</v>
      </c>
      <c r="P21" s="286"/>
      <c r="Q21" s="285" t="s">
        <v>210</v>
      </c>
      <c r="R21" s="285" t="s">
        <v>7</v>
      </c>
      <c r="S21" s="286"/>
      <c r="T21" s="285" t="s">
        <v>210</v>
      </c>
      <c r="U21" s="285" t="s">
        <v>3</v>
      </c>
      <c r="V21" s="286"/>
      <c r="W21" s="285"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45815.708333333292</v>
      </c>
      <c r="BZ21" s="294">
        <f ca="1">OFFSET(TblImps[[#This Row],[Servertime]],-1,0)+1/24</f>
        <v>45815.708333333292</v>
      </c>
      <c r="CA21" s="57"/>
      <c r="CB21" s="292"/>
      <c r="CC21" s="292"/>
      <c r="CF21" s="295"/>
    </row>
    <row r="22" spans="1:84" x14ac:dyDescent="0.2">
      <c r="A22" s="214">
        <f ca="1">TblConstr[[#This Row],[Land]]</f>
        <v>50</v>
      </c>
      <c r="B22" s="142"/>
      <c r="C22" s="94">
        <f ca="1">TblProd[[#This Row],[Platinum]]</f>
        <v>140964</v>
      </c>
      <c r="D22" s="94">
        <f ca="1">TblProd[[#This Row],[Lumber]]</f>
        <v>29066</v>
      </c>
      <c r="E22" s="94">
        <f ca="1">TblProd[[#This Row],[Ore]]</f>
        <v>0</v>
      </c>
      <c r="F22" s="94">
        <f ca="1">TblProd[[#This Row],[Gems]]</f>
        <v>0</v>
      </c>
      <c r="G22" s="154"/>
      <c r="H22" s="94">
        <f ca="1">TblMili[[#This Row],[Draftees]]</f>
        <v>376</v>
      </c>
      <c r="I22" s="180">
        <f ca="1">TblPop[[#This Row],[Employment]]</f>
        <v>1</v>
      </c>
      <c r="J22" s="180">
        <f ca="1">TblPop[[#This Row],[Total]]/TblPop[[#This Row],[Net max]]</f>
        <v>1</v>
      </c>
      <c r="K22" s="283">
        <f>TblRezone[[#This Row],[Hour]]</f>
        <v>19</v>
      </c>
      <c r="L22" s="284">
        <f ca="1">TblImps[[#This Row],[Real time]]</f>
        <v>45815.749999999956</v>
      </c>
      <c r="M22" s="61">
        <f>IF(ISERROR(TblImps[[#This Row],[algorithm]]),0,TblImps[[#This Row],[algorithm]]*1)</f>
        <v>0</v>
      </c>
      <c r="N22" s="94">
        <f ca="1">TblImps[[#This Row],[Land]]</f>
        <v>50</v>
      </c>
      <c r="O22" s="285" t="s">
        <v>4</v>
      </c>
      <c r="P22" s="286"/>
      <c r="Q22" s="285" t="s">
        <v>210</v>
      </c>
      <c r="R22" s="285" t="s">
        <v>7</v>
      </c>
      <c r="S22" s="286"/>
      <c r="T22" s="285" t="s">
        <v>210</v>
      </c>
      <c r="U22" s="285" t="s">
        <v>3</v>
      </c>
      <c r="V22" s="286"/>
      <c r="W22" s="285"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45815.749999999956</v>
      </c>
      <c r="BZ22" s="294">
        <f ca="1">OFFSET(TblImps[[#This Row],[Servertime]],-1,0)+1/24</f>
        <v>45815.749999999956</v>
      </c>
      <c r="CA22" s="57"/>
      <c r="CB22" s="292"/>
      <c r="CC22" s="292"/>
    </row>
    <row r="23" spans="1:84" x14ac:dyDescent="0.2">
      <c r="A23" s="214">
        <f ca="1">TblConstr[[#This Row],[Land]]</f>
        <v>50</v>
      </c>
      <c r="B23" s="142"/>
      <c r="C23" s="94">
        <f ca="1">TblProd[[#This Row],[Platinum]]</f>
        <v>142025</v>
      </c>
      <c r="D23" s="94">
        <f ca="1">TblProd[[#This Row],[Lumber]]</f>
        <v>29775</v>
      </c>
      <c r="E23" s="94">
        <f ca="1">TblProd[[#This Row],[Ore]]</f>
        <v>0</v>
      </c>
      <c r="F23" s="94">
        <f ca="1">TblProd[[#This Row],[Gems]]</f>
        <v>0</v>
      </c>
      <c r="G23" s="154"/>
      <c r="H23" s="94">
        <f ca="1">TblMili[[#This Row],[Draftees]]</f>
        <v>380</v>
      </c>
      <c r="I23" s="180">
        <f ca="1">TblPop[[#This Row],[Employment]]</f>
        <v>1</v>
      </c>
      <c r="J23" s="180">
        <f ca="1">TblPop[[#This Row],[Total]]/TblPop[[#This Row],[Net max]]</f>
        <v>1</v>
      </c>
      <c r="K23" s="283">
        <f>TblRezone[[#This Row],[Hour]]</f>
        <v>20</v>
      </c>
      <c r="L23" s="284">
        <f ca="1">TblImps[[#This Row],[Real time]]</f>
        <v>45815.791666666621</v>
      </c>
      <c r="M23" s="61">
        <f>IF(ISERROR(TblImps[[#This Row],[algorithm]]),0,TblImps[[#This Row],[algorithm]]*1)</f>
        <v>0</v>
      </c>
      <c r="N23" s="94">
        <f ca="1">TblImps[[#This Row],[Land]]</f>
        <v>50</v>
      </c>
      <c r="O23" s="285" t="s">
        <v>4</v>
      </c>
      <c r="P23" s="286"/>
      <c r="Q23" s="285" t="s">
        <v>210</v>
      </c>
      <c r="R23" s="285" t="s">
        <v>7</v>
      </c>
      <c r="S23" s="286"/>
      <c r="T23" s="285" t="s">
        <v>210</v>
      </c>
      <c r="U23" s="285" t="s">
        <v>3</v>
      </c>
      <c r="V23" s="286"/>
      <c r="W23" s="285"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45815.791666666621</v>
      </c>
      <c r="BZ23" s="294">
        <f ca="1">OFFSET(TblImps[[#This Row],[Servertime]],-1,0)+1/24</f>
        <v>45815.791666666621</v>
      </c>
      <c r="CA23" s="57"/>
      <c r="CB23" s="292"/>
      <c r="CC23" s="292"/>
    </row>
    <row r="24" spans="1:84" x14ac:dyDescent="0.2">
      <c r="A24" s="214">
        <f ca="1">TblConstr[[#This Row],[Land]]</f>
        <v>50</v>
      </c>
      <c r="B24" s="142"/>
      <c r="C24" s="94">
        <f ca="1">TblProd[[#This Row],[Platinum]]</f>
        <v>143075</v>
      </c>
      <c r="D24" s="94">
        <f ca="1">TblProd[[#This Row],[Lumber]]</f>
        <v>30477</v>
      </c>
      <c r="E24" s="94">
        <f ca="1">TblProd[[#This Row],[Ore]]</f>
        <v>0</v>
      </c>
      <c r="F24" s="94">
        <f ca="1">TblProd[[#This Row],[Gems]]</f>
        <v>0</v>
      </c>
      <c r="G24" s="154"/>
      <c r="H24" s="94">
        <f ca="1">TblMili[[#This Row],[Draftees]]</f>
        <v>384</v>
      </c>
      <c r="I24" s="180">
        <f ca="1">TblPop[[#This Row],[Employment]]</f>
        <v>1</v>
      </c>
      <c r="J24" s="180">
        <f ca="1">TblPop[[#This Row],[Total]]/TblPop[[#This Row],[Net max]]</f>
        <v>1</v>
      </c>
      <c r="K24" s="283">
        <f>TblRezone[[#This Row],[Hour]]</f>
        <v>21</v>
      </c>
      <c r="L24" s="284">
        <f ca="1">TblImps[[#This Row],[Real time]]</f>
        <v>45815.833333333285</v>
      </c>
      <c r="M24" s="61">
        <f>IF(ISERROR(TblImps[[#This Row],[algorithm]]),0,TblImps[[#This Row],[algorithm]]*1)</f>
        <v>0</v>
      </c>
      <c r="N24" s="94">
        <f ca="1">TblImps[[#This Row],[Land]]</f>
        <v>50</v>
      </c>
      <c r="O24" s="285" t="s">
        <v>4</v>
      </c>
      <c r="P24" s="286"/>
      <c r="Q24" s="285" t="s">
        <v>210</v>
      </c>
      <c r="R24" s="285" t="s">
        <v>7</v>
      </c>
      <c r="S24" s="286"/>
      <c r="T24" s="285" t="s">
        <v>210</v>
      </c>
      <c r="U24" s="285" t="s">
        <v>3</v>
      </c>
      <c r="V24" s="286"/>
      <c r="W24" s="285"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45815.833333333285</v>
      </c>
      <c r="BZ24" s="294">
        <f ca="1">OFFSET(TblImps[[#This Row],[Servertime]],-1,0)+1/24</f>
        <v>45815.833333333285</v>
      </c>
      <c r="CA24" s="57"/>
      <c r="CB24" s="292"/>
      <c r="CC24" s="292"/>
    </row>
    <row r="25" spans="1:84" x14ac:dyDescent="0.2">
      <c r="A25" s="214">
        <f ca="1">TblConstr[[#This Row],[Land]]</f>
        <v>50</v>
      </c>
      <c r="B25" s="142"/>
      <c r="C25" s="94">
        <f ca="1">TblProd[[#This Row],[Platinum]]</f>
        <v>144114</v>
      </c>
      <c r="D25" s="94">
        <f ca="1">TblProd[[#This Row],[Lumber]]</f>
        <v>31172</v>
      </c>
      <c r="E25" s="94">
        <f ca="1">TblProd[[#This Row],[Ore]]</f>
        <v>0</v>
      </c>
      <c r="F25" s="94">
        <f ca="1">TblProd[[#This Row],[Gems]]</f>
        <v>0</v>
      </c>
      <c r="G25" s="154"/>
      <c r="H25" s="94">
        <f ca="1">TblMili[[#This Row],[Draftees]]</f>
        <v>388</v>
      </c>
      <c r="I25" s="180">
        <f ca="1">TblPop[[#This Row],[Employment]]</f>
        <v>1</v>
      </c>
      <c r="J25" s="180">
        <f ca="1">TblPop[[#This Row],[Total]]/TblPop[[#This Row],[Net max]]</f>
        <v>1</v>
      </c>
      <c r="K25" s="283">
        <f>TblRezone[[#This Row],[Hour]]</f>
        <v>22</v>
      </c>
      <c r="L25" s="284">
        <f ca="1">TblImps[[#This Row],[Real time]]</f>
        <v>45815.874999999949</v>
      </c>
      <c r="M25" s="61">
        <f>IF(ISERROR(TblImps[[#This Row],[algorithm]]),0,TblImps[[#This Row],[algorithm]]*1)</f>
        <v>0</v>
      </c>
      <c r="N25" s="94">
        <f ca="1">TblImps[[#This Row],[Land]]</f>
        <v>50</v>
      </c>
      <c r="O25" s="285" t="s">
        <v>4</v>
      </c>
      <c r="P25" s="286"/>
      <c r="Q25" s="285" t="s">
        <v>210</v>
      </c>
      <c r="R25" s="285" t="s">
        <v>7</v>
      </c>
      <c r="S25" s="286"/>
      <c r="T25" s="285" t="s">
        <v>210</v>
      </c>
      <c r="U25" s="285" t="s">
        <v>3</v>
      </c>
      <c r="V25" s="286"/>
      <c r="W25" s="285"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45815.874999999949</v>
      </c>
      <c r="BZ25" s="294">
        <f ca="1">OFFSET(TblImps[[#This Row],[Servertime]],-1,0)+1/24</f>
        <v>45815.874999999949</v>
      </c>
      <c r="CA25" s="57"/>
      <c r="CB25" s="292"/>
      <c r="CC25" s="292"/>
    </row>
    <row r="26" spans="1:84" x14ac:dyDescent="0.2">
      <c r="A26" s="214">
        <f ca="1">TblConstr[[#This Row],[Land]]</f>
        <v>50</v>
      </c>
      <c r="B26" s="142"/>
      <c r="C26" s="94">
        <f ca="1">TblProd[[#This Row],[Platinum]]</f>
        <v>145142</v>
      </c>
      <c r="D26" s="94">
        <f ca="1">TblProd[[#This Row],[Lumber]]</f>
        <v>31860</v>
      </c>
      <c r="E26" s="94">
        <f ca="1">TblProd[[#This Row],[Ore]]</f>
        <v>0</v>
      </c>
      <c r="F26" s="94">
        <f ca="1">TblProd[[#This Row],[Gems]]</f>
        <v>0</v>
      </c>
      <c r="G26" s="154"/>
      <c r="H26" s="94">
        <f ca="1">TblMili[[#This Row],[Draftees]]</f>
        <v>392</v>
      </c>
      <c r="I26" s="180">
        <f ca="1">TblPop[[#This Row],[Employment]]</f>
        <v>1</v>
      </c>
      <c r="J26" s="180">
        <f ca="1">TblPop[[#This Row],[Total]]/TblPop[[#This Row],[Net max]]</f>
        <v>1</v>
      </c>
      <c r="K26" s="283">
        <f>TblRezone[[#This Row],[Hour]]</f>
        <v>23</v>
      </c>
      <c r="L26" s="284">
        <f ca="1">TblImps[[#This Row],[Real time]]</f>
        <v>45815.916666666613</v>
      </c>
      <c r="M26" s="61">
        <f>IF(ISERROR(TblImps[[#This Row],[algorithm]]),0,TblImps[[#This Row],[algorithm]]*1)</f>
        <v>0</v>
      </c>
      <c r="N26" s="94">
        <f ca="1">TblImps[[#This Row],[Land]]</f>
        <v>50</v>
      </c>
      <c r="O26" s="285" t="s">
        <v>4</v>
      </c>
      <c r="P26" s="286"/>
      <c r="Q26" s="285" t="s">
        <v>210</v>
      </c>
      <c r="R26" s="285" t="s">
        <v>7</v>
      </c>
      <c r="S26" s="286"/>
      <c r="T26" s="285" t="s">
        <v>210</v>
      </c>
      <c r="U26" s="285" t="s">
        <v>3</v>
      </c>
      <c r="V26" s="286"/>
      <c r="W26" s="285"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45815.916666666613</v>
      </c>
      <c r="BZ26" s="294">
        <f ca="1">OFFSET(TblImps[[#This Row],[Servertime]],-1,0)+1/24</f>
        <v>45815.916666666613</v>
      </c>
      <c r="CA26" s="57"/>
      <c r="CB26" s="292"/>
      <c r="CC26" s="292"/>
    </row>
    <row r="27" spans="1:84" x14ac:dyDescent="0.2">
      <c r="A27" s="214">
        <f ca="1">TblConstr[[#This Row],[Land]]</f>
        <v>50</v>
      </c>
      <c r="B27" s="142"/>
      <c r="C27" s="94">
        <f ca="1">TblProd[[#This Row],[Platinum]]</f>
        <v>146159</v>
      </c>
      <c r="D27" s="94">
        <f ca="1">TblProd[[#This Row],[Lumber]]</f>
        <v>32541</v>
      </c>
      <c r="E27" s="94">
        <f ca="1">TblProd[[#This Row],[Ore]]</f>
        <v>0</v>
      </c>
      <c r="F27" s="94">
        <f ca="1">TblProd[[#This Row],[Gems]]</f>
        <v>0</v>
      </c>
      <c r="G27" s="154"/>
      <c r="H27" s="94">
        <f ca="1">TblMili[[#This Row],[Draftees]]</f>
        <v>396</v>
      </c>
      <c r="I27" s="180">
        <f ca="1">TblPop[[#This Row],[Employment]]</f>
        <v>1</v>
      </c>
      <c r="J27" s="180">
        <f ca="1">TblPop[[#This Row],[Total]]/TblPop[[#This Row],[Net max]]</f>
        <v>1</v>
      </c>
      <c r="K27" s="283">
        <f>TblRezone[[#This Row],[Hour]]</f>
        <v>24</v>
      </c>
      <c r="L27" s="284">
        <f ca="1">TblImps[[#This Row],[Real time]]</f>
        <v>45815.958333333278</v>
      </c>
      <c r="M27" s="61">
        <f>IF(ISERROR(TblImps[[#This Row],[algorithm]]),0,TblImps[[#This Row],[algorithm]]*1)</f>
        <v>0</v>
      </c>
      <c r="N27" s="94">
        <f ca="1">TblImps[[#This Row],[Land]]</f>
        <v>50</v>
      </c>
      <c r="O27" s="285" t="s">
        <v>4</v>
      </c>
      <c r="P27" s="286"/>
      <c r="Q27" s="285" t="s">
        <v>210</v>
      </c>
      <c r="R27" s="285" t="s">
        <v>7</v>
      </c>
      <c r="S27" s="286"/>
      <c r="T27" s="285" t="s">
        <v>210</v>
      </c>
      <c r="U27" s="285" t="s">
        <v>3</v>
      </c>
      <c r="V27" s="286"/>
      <c r="W27" s="285"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45815.958333333278</v>
      </c>
      <c r="BZ27" s="294">
        <f ca="1">OFFSET(TblImps[[#This Row],[Servertime]],-1,0)+1/24</f>
        <v>45815.958333333278</v>
      </c>
      <c r="CA27" s="57"/>
      <c r="CB27" s="292"/>
      <c r="CC27" s="292"/>
    </row>
    <row r="28" spans="1:84" x14ac:dyDescent="0.2">
      <c r="A28" s="214">
        <f ca="1">TblConstr[[#This Row],[Land]]</f>
        <v>50</v>
      </c>
      <c r="B28" s="142"/>
      <c r="C28" s="94">
        <f ca="1">TblProd[[#This Row],[Platinum]]</f>
        <v>147166</v>
      </c>
      <c r="D28" s="94">
        <f ca="1">TblProd[[#This Row],[Lumber]]</f>
        <v>33216</v>
      </c>
      <c r="E28" s="94">
        <f ca="1">TblProd[[#This Row],[Ore]]</f>
        <v>0</v>
      </c>
      <c r="F28" s="94">
        <f ca="1">TblProd[[#This Row],[Gems]]</f>
        <v>0</v>
      </c>
      <c r="G28" s="154"/>
      <c r="H28" s="94">
        <f ca="1">TblMili[[#This Row],[Draftees]]</f>
        <v>400</v>
      </c>
      <c r="I28" s="180">
        <f ca="1">TblPop[[#This Row],[Employment]]</f>
        <v>1</v>
      </c>
      <c r="J28" s="180">
        <f ca="1">TblPop[[#This Row],[Total]]/TblPop[[#This Row],[Net max]]</f>
        <v>1</v>
      </c>
      <c r="K28" s="283">
        <f>TblRezone[[#This Row],[Hour]]</f>
        <v>25</v>
      </c>
      <c r="L28" s="284">
        <f ca="1">TblImps[[#This Row],[Real time]]</f>
        <v>45815.999999999942</v>
      </c>
      <c r="M28" s="61">
        <f>IF(ISERROR(TblImps[[#This Row],[algorithm]]),0,TblImps[[#This Row],[algorithm]]*1)</f>
        <v>0</v>
      </c>
      <c r="N28" s="94">
        <f ca="1">TblImps[[#This Row],[Land]]</f>
        <v>50</v>
      </c>
      <c r="O28" s="285" t="s">
        <v>2</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45815.999999999942</v>
      </c>
      <c r="BZ28" s="294">
        <f ca="1">OFFSET(TblImps[[#This Row],[Servertime]],-1,0)+1/24</f>
        <v>45815.999999999942</v>
      </c>
      <c r="CA28" s="57"/>
      <c r="CB28" s="292"/>
      <c r="CC28" s="292"/>
    </row>
    <row r="29" spans="1:84" x14ac:dyDescent="0.2">
      <c r="A29" s="214">
        <f ca="1">TblConstr[[#This Row],[Land]]</f>
        <v>50</v>
      </c>
      <c r="B29" s="142"/>
      <c r="C29" s="94">
        <f ca="1">TblProd[[#This Row],[Platinum]]</f>
        <v>148162</v>
      </c>
      <c r="D29" s="94">
        <f ca="1">TblProd[[#This Row],[Lumber]]</f>
        <v>33884</v>
      </c>
      <c r="E29" s="94">
        <f ca="1">TblProd[[#This Row],[Ore]]</f>
        <v>0</v>
      </c>
      <c r="F29" s="94">
        <f ca="1">TblProd[[#This Row],[Gems]]</f>
        <v>0</v>
      </c>
      <c r="G29" s="154"/>
      <c r="H29" s="94">
        <f ca="1">TblMili[[#This Row],[Draftees]]</f>
        <v>404</v>
      </c>
      <c r="I29" s="180">
        <f ca="1">TblPop[[#This Row],[Employment]]</f>
        <v>1</v>
      </c>
      <c r="J29" s="180">
        <f ca="1">TblPop[[#This Row],[Total]]/TblPop[[#This Row],[Net max]]</f>
        <v>1</v>
      </c>
      <c r="K29" s="283">
        <f>TblRezone[[#This Row],[Hour]]</f>
        <v>26</v>
      </c>
      <c r="L29" s="284">
        <f ca="1">TblImps[[#This Row],[Real time]]</f>
        <v>45816.041666666606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45816.041666666606</v>
      </c>
      <c r="BZ29" s="294">
        <f ca="1">OFFSET(TblImps[[#This Row],[Servertime]],-1,0)+1/24</f>
        <v>45816.041666666606</v>
      </c>
      <c r="CA29" s="57"/>
      <c r="CB29" s="292"/>
      <c r="CC29" s="292"/>
    </row>
    <row r="30" spans="1:84" x14ac:dyDescent="0.2">
      <c r="A30" s="214">
        <f ca="1">TblConstr[[#This Row],[Land]]</f>
        <v>50</v>
      </c>
      <c r="B30" s="142"/>
      <c r="C30" s="94">
        <f ca="1">TblProd[[#This Row],[Platinum]]</f>
        <v>149147</v>
      </c>
      <c r="D30" s="94">
        <f ca="1">TblProd[[#This Row],[Lumber]]</f>
        <v>34545</v>
      </c>
      <c r="E30" s="94">
        <f ca="1">TblProd[[#This Row],[Ore]]</f>
        <v>0</v>
      </c>
      <c r="F30" s="94">
        <f ca="1">TblProd[[#This Row],[Gems]]</f>
        <v>0</v>
      </c>
      <c r="G30" s="154"/>
      <c r="H30" s="94">
        <f ca="1">TblMili[[#This Row],[Draftees]]</f>
        <v>408</v>
      </c>
      <c r="I30" s="180">
        <f ca="1">TblPop[[#This Row],[Employment]]</f>
        <v>1</v>
      </c>
      <c r="J30" s="180">
        <f ca="1">TblPop[[#This Row],[Total]]/TblPop[[#This Row],[Net max]]</f>
        <v>1</v>
      </c>
      <c r="K30" s="283">
        <f>TblRezone[[#This Row],[Hour]]</f>
        <v>27</v>
      </c>
      <c r="L30" s="284">
        <f ca="1">TblImps[[#This Row],[Real time]]</f>
        <v>45816.08333333327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45816.08333333327</v>
      </c>
      <c r="BZ30" s="294">
        <f ca="1">OFFSET(TblImps[[#This Row],[Servertime]],-1,0)+1/24</f>
        <v>45816.08333333327</v>
      </c>
      <c r="CA30" s="57"/>
      <c r="CB30" s="292"/>
      <c r="CC30" s="292"/>
      <c r="CD30" s="45" t="s">
        <v>4</v>
      </c>
    </row>
    <row r="31" spans="1:84" x14ac:dyDescent="0.2">
      <c r="A31" s="214">
        <f ca="1">TblConstr[[#This Row],[Land]]</f>
        <v>50</v>
      </c>
      <c r="B31" s="142"/>
      <c r="C31" s="94">
        <f ca="1">TblProd[[#This Row],[Platinum]]</f>
        <v>150121</v>
      </c>
      <c r="D31" s="94">
        <f ca="1">TblProd[[#This Row],[Lumber]]</f>
        <v>35200</v>
      </c>
      <c r="E31" s="94">
        <f ca="1">TblProd[[#This Row],[Ore]]</f>
        <v>0</v>
      </c>
      <c r="F31" s="94">
        <f ca="1">TblProd[[#This Row],[Gems]]</f>
        <v>0</v>
      </c>
      <c r="G31" s="154"/>
      <c r="H31" s="94">
        <f ca="1">TblMili[[#This Row],[Draftees]]</f>
        <v>412</v>
      </c>
      <c r="I31" s="180">
        <f ca="1">TblPop[[#This Row],[Employment]]</f>
        <v>1</v>
      </c>
      <c r="J31" s="180">
        <f ca="1">TblPop[[#This Row],[Total]]/TblPop[[#This Row],[Net max]]</f>
        <v>1</v>
      </c>
      <c r="K31" s="283">
        <f>TblRezone[[#This Row],[Hour]]</f>
        <v>28</v>
      </c>
      <c r="L31" s="284">
        <f ca="1">TblImps[[#This Row],[Real time]]</f>
        <v>45816.124999999935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45816.124999999935</v>
      </c>
      <c r="BZ31" s="294">
        <f ca="1">OFFSET(TblImps[[#This Row],[Servertime]],-1,0)+1/24</f>
        <v>45816.124999999935</v>
      </c>
      <c r="CA31" s="57"/>
      <c r="CB31" s="292"/>
      <c r="CC31" s="292"/>
      <c r="CD31" s="45" t="s">
        <v>7</v>
      </c>
    </row>
    <row r="32" spans="1:84" x14ac:dyDescent="0.2">
      <c r="A32" s="214">
        <f ca="1">TblConstr[[#This Row],[Land]]</f>
        <v>50</v>
      </c>
      <c r="B32" s="142"/>
      <c r="C32" s="94">
        <f ca="1">TblProd[[#This Row],[Platinum]]</f>
        <v>151084</v>
      </c>
      <c r="D32" s="94">
        <f ca="1">TblProd[[#This Row],[Lumber]]</f>
        <v>35848</v>
      </c>
      <c r="E32" s="94">
        <f ca="1">TblProd[[#This Row],[Ore]]</f>
        <v>0</v>
      </c>
      <c r="F32" s="94">
        <f ca="1">TblProd[[#This Row],[Gems]]</f>
        <v>0</v>
      </c>
      <c r="G32" s="154"/>
      <c r="H32" s="94">
        <f ca="1">TblMili[[#This Row],[Draftees]]</f>
        <v>416</v>
      </c>
      <c r="I32" s="180">
        <f ca="1">TblPop[[#This Row],[Employment]]</f>
        <v>1</v>
      </c>
      <c r="J32" s="180">
        <f ca="1">TblPop[[#This Row],[Total]]/TblPop[[#This Row],[Net max]]</f>
        <v>1</v>
      </c>
      <c r="K32" s="283">
        <f>TblRezone[[#This Row],[Hour]]</f>
        <v>29</v>
      </c>
      <c r="L32" s="284">
        <f ca="1">TblImps[[#This Row],[Real time]]</f>
        <v>45816.166666666599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45816.166666666599</v>
      </c>
      <c r="BZ32" s="294">
        <f ca="1">OFFSET(TblImps[[#This Row],[Servertime]],-1,0)+1/24</f>
        <v>45816.166666666599</v>
      </c>
      <c r="CA32" s="57"/>
      <c r="CB32" s="292"/>
      <c r="CC32" s="292"/>
      <c r="CD32" s="45" t="s">
        <v>3</v>
      </c>
    </row>
    <row r="33" spans="1:82" x14ac:dyDescent="0.2">
      <c r="A33" s="214">
        <f ca="1">TblConstr[[#This Row],[Land]]</f>
        <v>50</v>
      </c>
      <c r="B33" s="142"/>
      <c r="C33" s="94">
        <f ca="1">TblProd[[#This Row],[Platinum]]</f>
        <v>152037</v>
      </c>
      <c r="D33" s="94">
        <f ca="1">TblProd[[#This Row],[Lumber]]</f>
        <v>36490</v>
      </c>
      <c r="E33" s="94">
        <f ca="1">TblProd[[#This Row],[Ore]]</f>
        <v>0</v>
      </c>
      <c r="F33" s="94">
        <f ca="1">TblProd[[#This Row],[Gems]]</f>
        <v>0</v>
      </c>
      <c r="G33" s="154"/>
      <c r="H33" s="94">
        <f ca="1">TblMili[[#This Row],[Draftees]]</f>
        <v>420</v>
      </c>
      <c r="I33" s="180">
        <f ca="1">TblPop[[#This Row],[Employment]]</f>
        <v>1</v>
      </c>
      <c r="J33" s="180">
        <f ca="1">TblPop[[#This Row],[Total]]/TblPop[[#This Row],[Net max]]</f>
        <v>1</v>
      </c>
      <c r="K33" s="283">
        <f>TblRezone[[#This Row],[Hour]]</f>
        <v>30</v>
      </c>
      <c r="L33" s="284">
        <f ca="1">TblImps[[#This Row],[Real time]]</f>
        <v>45816.208333333263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45816.208333333263</v>
      </c>
      <c r="BZ33" s="294">
        <f ca="1">OFFSET(TblImps[[#This Row],[Servertime]],-1,0)+1/24</f>
        <v>45816.208333333263</v>
      </c>
      <c r="CA33" s="57"/>
      <c r="CB33" s="292"/>
      <c r="CC33" s="292"/>
      <c r="CD33" s="45" t="s">
        <v>2</v>
      </c>
    </row>
    <row r="34" spans="1:82" x14ac:dyDescent="0.2">
      <c r="A34" s="214">
        <f ca="1">TblConstr[[#This Row],[Land]]</f>
        <v>50</v>
      </c>
      <c r="B34" s="142"/>
      <c r="C34" s="94">
        <f ca="1">TblProd[[#This Row],[Platinum]]</f>
        <v>152979</v>
      </c>
      <c r="D34" s="94">
        <f ca="1">TblProd[[#This Row],[Lumber]]</f>
        <v>37125</v>
      </c>
      <c r="E34" s="94">
        <f ca="1">TblProd[[#This Row],[Ore]]</f>
        <v>0</v>
      </c>
      <c r="F34" s="94">
        <f ca="1">TblProd[[#This Row],[Gems]]</f>
        <v>0</v>
      </c>
      <c r="G34" s="154"/>
      <c r="H34" s="94">
        <f ca="1">TblMili[[#This Row],[Draftees]]</f>
        <v>423</v>
      </c>
      <c r="I34" s="180">
        <f ca="1">TblPop[[#This Row],[Employment]]</f>
        <v>1</v>
      </c>
      <c r="J34" s="180">
        <f ca="1">TblPop[[#This Row],[Total]]/TblPop[[#This Row],[Net max]]</f>
        <v>1</v>
      </c>
      <c r="K34" s="283">
        <f>TblRezone[[#This Row],[Hour]]</f>
        <v>31</v>
      </c>
      <c r="L34" s="284">
        <f ca="1">TblImps[[#This Row],[Real time]]</f>
        <v>45816.249999999927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45816.249999999927</v>
      </c>
      <c r="BZ34" s="294">
        <f ca="1">OFFSET(TblImps[[#This Row],[Servertime]],-1,0)+1/24</f>
        <v>45816.249999999927</v>
      </c>
      <c r="CA34" s="57"/>
      <c r="CB34" s="292"/>
      <c r="CC34" s="292"/>
    </row>
    <row r="35" spans="1:82" x14ac:dyDescent="0.2">
      <c r="A35" s="214">
        <f ca="1">TblConstr[[#This Row],[Land]]</f>
        <v>50</v>
      </c>
      <c r="B35" s="142"/>
      <c r="C35" s="94">
        <f ca="1">TblProd[[#This Row],[Platinum]]</f>
        <v>153913</v>
      </c>
      <c r="D35" s="94">
        <f ca="1">TblProd[[#This Row],[Lumber]]</f>
        <v>37754</v>
      </c>
      <c r="E35" s="94">
        <f ca="1">TblProd[[#This Row],[Ore]]</f>
        <v>0</v>
      </c>
      <c r="F35" s="94">
        <f ca="1">TblProd[[#This Row],[Gems]]</f>
        <v>0</v>
      </c>
      <c r="G35" s="154"/>
      <c r="H35" s="94">
        <f ca="1">TblMili[[#This Row],[Draftees]]</f>
        <v>426</v>
      </c>
      <c r="I35" s="180">
        <f ca="1">TblPop[[#This Row],[Employment]]</f>
        <v>1</v>
      </c>
      <c r="J35" s="180">
        <f ca="1">TblPop[[#This Row],[Total]]/TblPop[[#This Row],[Net max]]</f>
        <v>1</v>
      </c>
      <c r="K35" s="283">
        <f>TblRezone[[#This Row],[Hour]]</f>
        <v>32</v>
      </c>
      <c r="L35" s="284">
        <f ca="1">TblImps[[#This Row],[Real time]]</f>
        <v>45816.291666666591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45816.291666666591</v>
      </c>
      <c r="BZ35" s="294">
        <f ca="1">OFFSET(TblImps[[#This Row],[Servertime]],-1,0)+1/24</f>
        <v>45816.291666666591</v>
      </c>
      <c r="CA35" s="57"/>
      <c r="CB35" s="292"/>
      <c r="CC35" s="292"/>
      <c r="CD35" s="45" t="s">
        <v>208</v>
      </c>
    </row>
    <row r="36" spans="1:82" x14ac:dyDescent="0.2">
      <c r="A36" s="214">
        <f ca="1">TblConstr[[#This Row],[Land]]</f>
        <v>50</v>
      </c>
      <c r="B36" s="142"/>
      <c r="C36" s="94">
        <f ca="1">TblProd[[#This Row],[Platinum]]</f>
        <v>154839</v>
      </c>
      <c r="D36" s="94">
        <f ca="1">TblProd[[#This Row],[Lumber]]</f>
        <v>38376</v>
      </c>
      <c r="E36" s="94">
        <f ca="1">TblProd[[#This Row],[Ore]]</f>
        <v>0</v>
      </c>
      <c r="F36" s="94">
        <f ca="1">TblProd[[#This Row],[Gems]]</f>
        <v>0</v>
      </c>
      <c r="G36" s="154"/>
      <c r="H36" s="94">
        <f ca="1">TblMili[[#This Row],[Draftees]]</f>
        <v>429</v>
      </c>
      <c r="I36" s="180">
        <f ca="1">TblPop[[#This Row],[Employment]]</f>
        <v>1</v>
      </c>
      <c r="J36" s="180">
        <f ca="1">TblPop[[#This Row],[Total]]/TblPop[[#This Row],[Net max]]</f>
        <v>1</v>
      </c>
      <c r="K36" s="283">
        <f>TblRezone[[#This Row],[Hour]]</f>
        <v>33</v>
      </c>
      <c r="L36" s="284">
        <f ca="1">TblImps[[#This Row],[Real time]]</f>
        <v>45816.333333333256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45816.333333333256</v>
      </c>
      <c r="BZ36" s="294">
        <f ca="1">OFFSET(TblImps[[#This Row],[Servertime]],-1,0)+1/24</f>
        <v>45816.333333333256</v>
      </c>
      <c r="CA36" s="57"/>
      <c r="CB36" s="292"/>
      <c r="CC36" s="292"/>
      <c r="CD36" s="45" t="s">
        <v>210</v>
      </c>
    </row>
    <row r="37" spans="1:82" x14ac:dyDescent="0.2">
      <c r="A37" s="214">
        <f ca="1">TblConstr[[#This Row],[Land]]</f>
        <v>50</v>
      </c>
      <c r="B37" s="142"/>
      <c r="C37" s="94">
        <f ca="1">TblProd[[#This Row],[Platinum]]</f>
        <v>155757</v>
      </c>
      <c r="D37" s="94">
        <f ca="1">TblProd[[#This Row],[Lumber]]</f>
        <v>38992</v>
      </c>
      <c r="E37" s="94">
        <f ca="1">TblProd[[#This Row],[Ore]]</f>
        <v>0</v>
      </c>
      <c r="F37" s="94">
        <f ca="1">TblProd[[#This Row],[Gems]]</f>
        <v>0</v>
      </c>
      <c r="G37" s="154"/>
      <c r="H37" s="94">
        <f ca="1">TblMili[[#This Row],[Draftees]]</f>
        <v>432</v>
      </c>
      <c r="I37" s="180">
        <f ca="1">TblPop[[#This Row],[Employment]]</f>
        <v>1</v>
      </c>
      <c r="J37" s="180">
        <f ca="1">TblPop[[#This Row],[Total]]/TblPop[[#This Row],[Net max]]</f>
        <v>1</v>
      </c>
      <c r="K37" s="283">
        <f>TblRezone[[#This Row],[Hour]]</f>
        <v>34</v>
      </c>
      <c r="L37" s="284">
        <f ca="1">TblImps[[#This Row],[Real time]]</f>
        <v>45816.37499999992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45816.37499999992</v>
      </c>
      <c r="BZ37" s="294">
        <f ca="1">OFFSET(TblImps[[#This Row],[Servertime]],-1,0)+1/24</f>
        <v>45816.37499999992</v>
      </c>
      <c r="CA37" s="57"/>
      <c r="CB37" s="292"/>
      <c r="CC37" s="292"/>
      <c r="CD37" s="45" t="s">
        <v>1107</v>
      </c>
    </row>
    <row r="38" spans="1:82" x14ac:dyDescent="0.2">
      <c r="A38" s="214">
        <f ca="1">TblConstr[[#This Row],[Land]]</f>
        <v>50</v>
      </c>
      <c r="B38" s="142"/>
      <c r="C38" s="94">
        <f ca="1">TblProd[[#This Row],[Platinum]]</f>
        <v>156666</v>
      </c>
      <c r="D38" s="94">
        <f ca="1">TblProd[[#This Row],[Lumber]]</f>
        <v>39602</v>
      </c>
      <c r="E38" s="94">
        <f ca="1">TblProd[[#This Row],[Ore]]</f>
        <v>0</v>
      </c>
      <c r="F38" s="94">
        <f ca="1">TblProd[[#This Row],[Gems]]</f>
        <v>0</v>
      </c>
      <c r="G38" s="154"/>
      <c r="H38" s="94">
        <f ca="1">TblMili[[#This Row],[Draftees]]</f>
        <v>435</v>
      </c>
      <c r="I38" s="180">
        <f ca="1">TblPop[[#This Row],[Employment]]</f>
        <v>1</v>
      </c>
      <c r="J38" s="180">
        <f ca="1">TblPop[[#This Row],[Total]]/TblPop[[#This Row],[Net max]]</f>
        <v>1</v>
      </c>
      <c r="K38" s="283">
        <f>TblRezone[[#This Row],[Hour]]</f>
        <v>35</v>
      </c>
      <c r="L38" s="284">
        <f ca="1">TblImps[[#This Row],[Real time]]</f>
        <v>45816.416666666584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45816.416666666584</v>
      </c>
      <c r="BZ38" s="294">
        <f ca="1">OFFSET(TblImps[[#This Row],[Servertime]],-1,0)+1/24</f>
        <v>45816.416666666584</v>
      </c>
      <c r="CA38" s="57"/>
      <c r="CB38" s="292"/>
      <c r="CC38" s="292"/>
      <c r="CD38" s="45" t="s">
        <v>212</v>
      </c>
    </row>
    <row r="39" spans="1:82" x14ac:dyDescent="0.2">
      <c r="A39" s="214">
        <f ca="1">TblConstr[[#This Row],[Land]]</f>
        <v>50</v>
      </c>
      <c r="B39" s="142"/>
      <c r="C39" s="94">
        <f ca="1">TblProd[[#This Row],[Platinum]]</f>
        <v>157567</v>
      </c>
      <c r="D39" s="94">
        <f ca="1">TblProd[[#This Row],[Lumber]]</f>
        <v>40206</v>
      </c>
      <c r="E39" s="94">
        <f ca="1">TblProd[[#This Row],[Ore]]</f>
        <v>0</v>
      </c>
      <c r="F39" s="94">
        <f ca="1">TblProd[[#This Row],[Gems]]</f>
        <v>0</v>
      </c>
      <c r="G39" s="154"/>
      <c r="H39" s="94">
        <f ca="1">TblMili[[#This Row],[Draftees]]</f>
        <v>438</v>
      </c>
      <c r="I39" s="180">
        <f ca="1">TblPop[[#This Row],[Employment]]</f>
        <v>1</v>
      </c>
      <c r="J39" s="180">
        <f ca="1">TblPop[[#This Row],[Total]]/TblPop[[#This Row],[Net max]]</f>
        <v>1</v>
      </c>
      <c r="K39" s="283">
        <f>TblRezone[[#This Row],[Hour]]</f>
        <v>36</v>
      </c>
      <c r="L39" s="284">
        <f ca="1">TblImps[[#This Row],[Real time]]</f>
        <v>45816.458333333248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45816.458333333248</v>
      </c>
      <c r="BZ39" s="294">
        <f ca="1">OFFSET(TblImps[[#This Row],[Servertime]],-1,0)+1/24</f>
        <v>45816.458333333248</v>
      </c>
      <c r="CA39" s="57"/>
      <c r="CB39" s="292"/>
      <c r="CC39" s="292"/>
      <c r="CD39" s="45" t="s">
        <v>213</v>
      </c>
    </row>
    <row r="40" spans="1:82" x14ac:dyDescent="0.2">
      <c r="A40" s="214">
        <f ca="1">TblConstr[[#This Row],[Land]]</f>
        <v>50</v>
      </c>
      <c r="B40" s="142"/>
      <c r="C40" s="94">
        <f ca="1">TblProd[[#This Row],[Platinum]]</f>
        <v>158460</v>
      </c>
      <c r="D40" s="94">
        <f ca="1">TblProd[[#This Row],[Lumber]]</f>
        <v>40804</v>
      </c>
      <c r="E40" s="94">
        <f ca="1">TblProd[[#This Row],[Ore]]</f>
        <v>0</v>
      </c>
      <c r="F40" s="94">
        <f ca="1">TblProd[[#This Row],[Gems]]</f>
        <v>0</v>
      </c>
      <c r="G40" s="154"/>
      <c r="H40" s="94">
        <f ca="1">TblMili[[#This Row],[Draftees]]</f>
        <v>441</v>
      </c>
      <c r="I40" s="180">
        <f ca="1">TblPop[[#This Row],[Employment]]</f>
        <v>1</v>
      </c>
      <c r="J40" s="180">
        <f ca="1">TblPop[[#This Row],[Total]]/TblPop[[#This Row],[Net max]]</f>
        <v>1</v>
      </c>
      <c r="K40" s="283">
        <f>TblRezone[[#This Row],[Hour]]</f>
        <v>37</v>
      </c>
      <c r="L40" s="284">
        <f ca="1">TblImps[[#This Row],[Real time]]</f>
        <v>45816.499999999913</v>
      </c>
      <c r="M40" s="61">
        <f>IF(ISERROR(TblImps[[#This Row],[algorithm]]),0,TblImps[[#This Row],[algorithm]]*1)</f>
        <v>0</v>
      </c>
      <c r="N40" s="94">
        <f ca="1">TblImps[[#This Row],[Land]]</f>
        <v>50</v>
      </c>
      <c r="O40" s="285" t="s">
        <v>4</v>
      </c>
      <c r="P40" s="286"/>
      <c r="Q40" s="285" t="s">
        <v>210</v>
      </c>
      <c r="R40" s="285" t="s">
        <v>7</v>
      </c>
      <c r="S40" s="286"/>
      <c r="T40" s="285" t="s">
        <v>210</v>
      </c>
      <c r="U40" s="285" t="s">
        <v>3</v>
      </c>
      <c r="V40" s="286"/>
      <c r="W40" s="285" t="s">
        <v>210</v>
      </c>
      <c r="X40" s="142"/>
      <c r="Y40" s="287">
        <f ca="1">science_cap*(1-EXP(-TblImps[[#This Row],[Σ Science]]/(science_param*(OFFSET(TblImps[[#This Row],[Land]],1,0)-OFFSET(TblExplore[[#This Row],[Land Bonus]],1,0)*20)+15000)))*(1+(mason_bonus*TblConstr[[#This Row],[Tot Mas]]/TblConstr[[#This Row],[Land (2)]]))</f>
        <v>0</v>
      </c>
      <c r="Z40" s="287">
        <f ca="1">keep_cap*(1-EXP(-TblImps[[#This Row],[Σ Keep]]/(keep_param*(OFFSET(TblImps[[#This Row],[Land]],1,0)-OFFSET(TblExplore[[#This Row],[Land Bonus]],1,0)*20)+15000)))*(1+(mason_bonus*TblConstr[[#This Row],[Tot Mas]]/TblConstr[[#This Row],[Land (2)]]))</f>
        <v>0</v>
      </c>
      <c r="AA40" s="287">
        <f ca="1">harbor_towers_cap*(1-EXP(-TblImps[[#This Row],[Σ Spires]]/(towers_param*(OFFSET(TblImps[[#This Row],[Land]],1,0)-OFFSET(TblExplore[[#This Row],[Land Bonus]],1,0)*20)+15000)))*(1+(mason_bonus*TblConstr[[#This Row],[Tot Mas]]/TblConstr[[#This Row],[Land (2)]]))</f>
        <v>0</v>
      </c>
      <c r="AB40" s="287">
        <f ca="1">walls_forges_cap*(1-EXP(-TblImps[[#This Row],[Σ Forges]]/(walls_forges_param*(OFFSET(TblImps[[#This Row],[Land]],1,0)-OFFSET(TblExplore[[#This Row],[Land Bonus]],1,0)*20)+15000)))*(1+(mason_bonus*TblConstr[[#This Row],[Tot Mas]]/TblConstr[[#This Row],[Land (2)]]))</f>
        <v>0</v>
      </c>
      <c r="AC40" s="287">
        <f ca="1">walls_forges_cap*(1-EXP(-TblImps[[#This Row],[Σ Walls]]/(walls_forges_param*(OFFSET(TblImps[[#This Row],[Land]],1,0)-OFFSET(TblExplore[[#This Row],[Land Bonus]],1,0)*20)+15000)))*(1+(mason_bonus*TblConstr[[#This Row],[Tot Mas]]/TblConstr[[#This Row],[Land (2)]]))</f>
        <v>0</v>
      </c>
      <c r="AD40" s="287">
        <f ca="1">harbor_towers_cap*(1-EXP(-TblImps[[#This Row],[Σ Harbor]]/(harbor_towers_param*(OFFSET(TblImps[[#This Row],[Land]],1,0)-OFFSET(TblExplore[[#This Row],[Land Bonus]],1,0)*20)+15000)))*(1+(mason_bonus*TblConstr[[#This Row],[Tot Mas]]/TblConstr[[#This Row],[Land (2)]]))</f>
        <v>0</v>
      </c>
      <c r="AE40" s="142"/>
      <c r="AF40" s="61">
        <f ca="1">(1+Overview!$I$29)*SUM(TblImps[[#This Row],[P2]:[G2]])+OFFSET(TblImps[[#This Row],[Σ Science]],-1,0)</f>
        <v>0</v>
      </c>
      <c r="AG40" s="61">
        <f ca="1">(1+Overview!$I$29)*SUM(TblImps[[#This Row],[P3]:[G3]])+OFFSET(TblImps[[#This Row],[Σ Keep]],-1,0)</f>
        <v>0</v>
      </c>
      <c r="AH40" s="61">
        <f ca="1">(1+Overview!$I$29 + tech_7_1*TblTech[[#This Row],[7-1]])*SUM(TblImps[[#This Row],[P4]:[G4]])+OFFSET(TblImps[[#This Row],[Σ Spires]],-1,0)</f>
        <v>0</v>
      </c>
      <c r="AI40" s="61">
        <f ca="1">(1+Overview!$I$29)*SUM(TblImps[[#This Row],[P5]:[G5]])+OFFSET(TblImps[[#This Row],[Σ Forges]],-1,0)</f>
        <v>0</v>
      </c>
      <c r="AJ40" s="61">
        <f ca="1">(1+Overview!$I$29)*SUM(TblImps[[#This Row],[P6]:[G6]])+OFFSET(TblImps[[#This Row],[Σ Walls]],-1,0)</f>
        <v>0</v>
      </c>
      <c r="AK40" s="61">
        <f ca="1">(1+Overview!$I$29 + tech_7_1*TblTech[[#This Row],[7-1]])*SUM(TblImps[[#This Row],[P7]:[G7]])+OFFSET(TblImps[[#This Row],[Σ Harbor]],-1,0)</f>
        <v>0</v>
      </c>
      <c r="AL40" s="142"/>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2"/>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2"/>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2"/>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2"/>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2"/>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2"/>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2"/>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7"/>
      <c r="BY40" s="293">
        <f ca="1">OFFSET(TblImps[[#This Row],[Real time]],-1,0)+1/24</f>
        <v>45816.499999999913</v>
      </c>
      <c r="BZ40" s="294">
        <f ca="1">OFFSET(TblImps[[#This Row],[Servertime]],-1,0)+1/24</f>
        <v>45816.499999999913</v>
      </c>
      <c r="CA40" s="57"/>
      <c r="CB40" s="292"/>
      <c r="CC40" s="292"/>
      <c r="CD40" s="45" t="s">
        <v>526</v>
      </c>
    </row>
    <row r="41" spans="1:82" x14ac:dyDescent="0.2">
      <c r="A41" s="214">
        <f ca="1">TblConstr[[#This Row],[Land]]</f>
        <v>50</v>
      </c>
      <c r="B41" s="142"/>
      <c r="C41" s="94">
        <f ca="1">TblProd[[#This Row],[Platinum]]</f>
        <v>159345</v>
      </c>
      <c r="D41" s="94">
        <f ca="1">TblProd[[#This Row],[Lumber]]</f>
        <v>41396</v>
      </c>
      <c r="E41" s="94">
        <f ca="1">TblProd[[#This Row],[Ore]]</f>
        <v>0</v>
      </c>
      <c r="F41" s="94">
        <f ca="1">TblProd[[#This Row],[Gems]]</f>
        <v>0</v>
      </c>
      <c r="G41" s="154"/>
      <c r="H41" s="94">
        <f ca="1">TblMili[[#This Row],[Draftees]]</f>
        <v>444</v>
      </c>
      <c r="I41" s="180">
        <f ca="1">TblPop[[#This Row],[Employment]]</f>
        <v>1</v>
      </c>
      <c r="J41" s="180">
        <f ca="1">TblPop[[#This Row],[Total]]/TblPop[[#This Row],[Net max]]</f>
        <v>1</v>
      </c>
      <c r="K41" s="283">
        <f>TblRezone[[#This Row],[Hour]]</f>
        <v>38</v>
      </c>
      <c r="L41" s="284">
        <f ca="1">TblImps[[#This Row],[Real time]]</f>
        <v>45816.541666666577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45816.541666666577</v>
      </c>
      <c r="BZ41" s="294">
        <f ca="1">OFFSET(TblImps[[#This Row],[Servertime]],-1,0)+1/24</f>
        <v>45816.541666666577</v>
      </c>
      <c r="CA41" s="57"/>
      <c r="CB41" s="292"/>
      <c r="CC41" s="292"/>
    </row>
    <row r="42" spans="1:82" x14ac:dyDescent="0.2">
      <c r="A42" s="214">
        <f ca="1">TblConstr[[#This Row],[Land]]</f>
        <v>50</v>
      </c>
      <c r="B42" s="142"/>
      <c r="C42" s="94">
        <f ca="1">TblProd[[#This Row],[Platinum]]</f>
        <v>160222</v>
      </c>
      <c r="D42" s="94">
        <f ca="1">TblProd[[#This Row],[Lumber]]</f>
        <v>41982</v>
      </c>
      <c r="E42" s="94">
        <f ca="1">TblProd[[#This Row],[Ore]]</f>
        <v>0</v>
      </c>
      <c r="F42" s="94">
        <f ca="1">TblProd[[#This Row],[Gems]]</f>
        <v>0</v>
      </c>
      <c r="G42" s="154"/>
      <c r="H42" s="94">
        <f ca="1">TblMili[[#This Row],[Draftees]]</f>
        <v>447</v>
      </c>
      <c r="I42" s="180">
        <f ca="1">TblPop[[#This Row],[Employment]]</f>
        <v>1</v>
      </c>
      <c r="J42" s="180">
        <f ca="1">TblPop[[#This Row],[Total]]/TblPop[[#This Row],[Net max]]</f>
        <v>1</v>
      </c>
      <c r="K42" s="283">
        <f>TblRezone[[#This Row],[Hour]]</f>
        <v>39</v>
      </c>
      <c r="L42" s="284">
        <f ca="1">TblImps[[#This Row],[Real time]]</f>
        <v>45816.583333333241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45816.583333333241</v>
      </c>
      <c r="BZ42" s="294">
        <f ca="1">OFFSET(TblImps[[#This Row],[Servertime]],-1,0)+1/24</f>
        <v>45816.583333333241</v>
      </c>
      <c r="CA42" s="297"/>
      <c r="CB42" s="292"/>
      <c r="CC42" s="292"/>
    </row>
    <row r="43" spans="1:82" x14ac:dyDescent="0.2">
      <c r="A43" s="214">
        <f ca="1">TblConstr[[#This Row],[Land]]</f>
        <v>50</v>
      </c>
      <c r="B43" s="142"/>
      <c r="C43" s="94">
        <f ca="1">TblProd[[#This Row],[Platinum]]</f>
        <v>161091</v>
      </c>
      <c r="D43" s="94">
        <f ca="1">TblProd[[#This Row],[Lumber]]</f>
        <v>42562</v>
      </c>
      <c r="E43" s="94">
        <f ca="1">TblProd[[#This Row],[Ore]]</f>
        <v>0</v>
      </c>
      <c r="F43" s="94">
        <f ca="1">TblProd[[#This Row],[Gems]]</f>
        <v>0</v>
      </c>
      <c r="G43" s="154"/>
      <c r="H43" s="94">
        <f ca="1">TblMili[[#This Row],[Draftees]]</f>
        <v>450</v>
      </c>
      <c r="I43" s="180">
        <f ca="1">TblPop[[#This Row],[Employment]]</f>
        <v>1</v>
      </c>
      <c r="J43" s="180">
        <f ca="1">TblPop[[#This Row],[Total]]/TblPop[[#This Row],[Net max]]</f>
        <v>1</v>
      </c>
      <c r="K43" s="283">
        <f>TblRezone[[#This Row],[Hour]]</f>
        <v>40</v>
      </c>
      <c r="L43" s="284">
        <f ca="1">TblImps[[#This Row],[Real time]]</f>
        <v>45816.624999999905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45816.624999999905</v>
      </c>
      <c r="BZ43" s="294">
        <f ca="1">OFFSET(TblImps[[#This Row],[Servertime]],-1,0)+1/24</f>
        <v>45816.624999999905</v>
      </c>
      <c r="CA43" s="57"/>
      <c r="CB43" s="292"/>
      <c r="CC43" s="292"/>
    </row>
    <row r="44" spans="1:82" x14ac:dyDescent="0.2">
      <c r="A44" s="214">
        <f ca="1">TblConstr[[#This Row],[Land]]</f>
        <v>50</v>
      </c>
      <c r="B44" s="142"/>
      <c r="C44" s="94">
        <f ca="1">TblProd[[#This Row],[Platinum]]</f>
        <v>161952</v>
      </c>
      <c r="D44" s="94">
        <f ca="1">TblProd[[#This Row],[Lumber]]</f>
        <v>43136</v>
      </c>
      <c r="E44" s="94">
        <f ca="1">TblProd[[#This Row],[Ore]]</f>
        <v>0</v>
      </c>
      <c r="F44" s="94">
        <f ca="1">TblProd[[#This Row],[Gems]]</f>
        <v>0</v>
      </c>
      <c r="G44" s="154"/>
      <c r="H44" s="94">
        <f ca="1">TblMili[[#This Row],[Draftees]]</f>
        <v>453</v>
      </c>
      <c r="I44" s="180">
        <f ca="1">TblPop[[#This Row],[Employment]]</f>
        <v>1</v>
      </c>
      <c r="J44" s="180">
        <f ca="1">TblPop[[#This Row],[Total]]/TblPop[[#This Row],[Net max]]</f>
        <v>1</v>
      </c>
      <c r="K44" s="283">
        <f>TblRezone[[#This Row],[Hour]]</f>
        <v>41</v>
      </c>
      <c r="L44" s="284">
        <f ca="1">TblImps[[#This Row],[Real time]]</f>
        <v>45816.66666666657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45816.66666666657</v>
      </c>
      <c r="BZ44" s="294">
        <f ca="1">OFFSET(TblImps[[#This Row],[Servertime]],-1,0)+1/24</f>
        <v>45816.66666666657</v>
      </c>
      <c r="CA44" s="57"/>
      <c r="CB44" s="292"/>
      <c r="CC44" s="292"/>
    </row>
    <row r="45" spans="1:82" x14ac:dyDescent="0.2">
      <c r="A45" s="214">
        <f ca="1">TblConstr[[#This Row],[Land]]</f>
        <v>50</v>
      </c>
      <c r="B45" s="142"/>
      <c r="C45" s="94">
        <f ca="1">TblProd[[#This Row],[Platinum]]</f>
        <v>162805</v>
      </c>
      <c r="D45" s="94">
        <f ca="1">TblProd[[#This Row],[Lumber]]</f>
        <v>43705</v>
      </c>
      <c r="E45" s="94">
        <f ca="1">TblProd[[#This Row],[Ore]]</f>
        <v>0</v>
      </c>
      <c r="F45" s="94">
        <f ca="1">TblProd[[#This Row],[Gems]]</f>
        <v>0</v>
      </c>
      <c r="G45" s="154"/>
      <c r="H45" s="94">
        <f ca="1">TblMili[[#This Row],[Draftees]]</f>
        <v>456</v>
      </c>
      <c r="I45" s="180">
        <f ca="1">TblPop[[#This Row],[Employment]]</f>
        <v>1</v>
      </c>
      <c r="J45" s="180">
        <f ca="1">TblPop[[#This Row],[Total]]/TblPop[[#This Row],[Net max]]</f>
        <v>1</v>
      </c>
      <c r="K45" s="283">
        <f>TblRezone[[#This Row],[Hour]]</f>
        <v>42</v>
      </c>
      <c r="L45" s="284">
        <f ca="1">TblImps[[#This Row],[Real time]]</f>
        <v>45816.708333333234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45816.708333333234</v>
      </c>
      <c r="BZ45" s="294">
        <f ca="1">OFFSET(TblImps[[#This Row],[Servertime]],-1,0)+1/24</f>
        <v>45816.708333333234</v>
      </c>
      <c r="CA45" s="57"/>
      <c r="CB45" s="292"/>
      <c r="CC45" s="292"/>
    </row>
    <row r="46" spans="1:82" x14ac:dyDescent="0.2">
      <c r="A46" s="214">
        <f ca="1">TblConstr[[#This Row],[Land]]</f>
        <v>50</v>
      </c>
      <c r="B46" s="142"/>
      <c r="C46" s="94">
        <f ca="1">TblProd[[#This Row],[Platinum]]</f>
        <v>163650</v>
      </c>
      <c r="D46" s="94">
        <f ca="1">TblProd[[#This Row],[Lumber]]</f>
        <v>44268</v>
      </c>
      <c r="E46" s="94">
        <f ca="1">TblProd[[#This Row],[Ore]]</f>
        <v>0</v>
      </c>
      <c r="F46" s="94">
        <f ca="1">TblProd[[#This Row],[Gems]]</f>
        <v>0</v>
      </c>
      <c r="G46" s="154"/>
      <c r="H46" s="94">
        <f ca="1">TblMili[[#This Row],[Draftees]]</f>
        <v>459</v>
      </c>
      <c r="I46" s="180">
        <f ca="1">TblPop[[#This Row],[Employment]]</f>
        <v>1</v>
      </c>
      <c r="J46" s="180">
        <f ca="1">TblPop[[#This Row],[Total]]/TblPop[[#This Row],[Net max]]</f>
        <v>1</v>
      </c>
      <c r="K46" s="283">
        <f>TblRezone[[#This Row],[Hour]]</f>
        <v>43</v>
      </c>
      <c r="L46" s="284">
        <f ca="1">TblImps[[#This Row],[Real time]]</f>
        <v>45816.749999999898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45816.749999999898</v>
      </c>
      <c r="BZ46" s="294">
        <f ca="1">OFFSET(TblImps[[#This Row],[Servertime]],-1,0)+1/24</f>
        <v>45816.749999999898</v>
      </c>
      <c r="CA46" s="57"/>
      <c r="CB46" s="292"/>
      <c r="CC46" s="292"/>
    </row>
    <row r="47" spans="1:82" x14ac:dyDescent="0.2">
      <c r="A47" s="214">
        <f ca="1">TblConstr[[#This Row],[Land]]</f>
        <v>50</v>
      </c>
      <c r="B47" s="142"/>
      <c r="C47" s="94">
        <f ca="1">TblProd[[#This Row],[Platinum]]</f>
        <v>164487</v>
      </c>
      <c r="D47" s="94">
        <f ca="1">TblProd[[#This Row],[Lumber]]</f>
        <v>44825</v>
      </c>
      <c r="E47" s="94">
        <f ca="1">TblProd[[#This Row],[Ore]]</f>
        <v>0</v>
      </c>
      <c r="F47" s="94">
        <f ca="1">TblProd[[#This Row],[Gems]]</f>
        <v>0</v>
      </c>
      <c r="G47" s="154"/>
      <c r="H47" s="94">
        <f ca="1">TblMili[[#This Row],[Draftees]]</f>
        <v>462</v>
      </c>
      <c r="I47" s="180">
        <f ca="1">TblPop[[#This Row],[Employment]]</f>
        <v>1</v>
      </c>
      <c r="J47" s="180">
        <f ca="1">TblPop[[#This Row],[Total]]/TblPop[[#This Row],[Net max]]</f>
        <v>1</v>
      </c>
      <c r="K47" s="283">
        <f>TblRezone[[#This Row],[Hour]]</f>
        <v>44</v>
      </c>
      <c r="L47" s="284">
        <f ca="1">TblImps[[#This Row],[Real time]]</f>
        <v>45816.791666666562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45816.791666666562</v>
      </c>
      <c r="BZ47" s="294">
        <f ca="1">OFFSET(TblImps[[#This Row],[Servertime]],-1,0)+1/24</f>
        <v>45816.791666666562</v>
      </c>
      <c r="CA47" s="57"/>
      <c r="CB47" s="292"/>
      <c r="CC47" s="292"/>
    </row>
    <row r="48" spans="1:82" x14ac:dyDescent="0.2">
      <c r="A48" s="214">
        <f ca="1">TblConstr[[#This Row],[Land]]</f>
        <v>50</v>
      </c>
      <c r="B48" s="142"/>
      <c r="C48" s="94">
        <f ca="1">TblProd[[#This Row],[Platinum]]</f>
        <v>165315</v>
      </c>
      <c r="D48" s="94">
        <f ca="1">TblProd[[#This Row],[Lumber]]</f>
        <v>45377</v>
      </c>
      <c r="E48" s="94">
        <f ca="1">TblProd[[#This Row],[Ore]]</f>
        <v>0</v>
      </c>
      <c r="F48" s="94">
        <f ca="1">TblProd[[#This Row],[Gems]]</f>
        <v>0</v>
      </c>
      <c r="G48" s="154"/>
      <c r="H48" s="94">
        <f ca="1">TblMili[[#This Row],[Draftees]]</f>
        <v>465</v>
      </c>
      <c r="I48" s="180">
        <f ca="1">TblPop[[#This Row],[Employment]]</f>
        <v>1</v>
      </c>
      <c r="J48" s="180">
        <f ca="1">TblPop[[#This Row],[Total]]/TblPop[[#This Row],[Net max]]</f>
        <v>1</v>
      </c>
      <c r="K48" s="283">
        <f>TblRezone[[#This Row],[Hour]]</f>
        <v>45</v>
      </c>
      <c r="L48" s="284">
        <f ca="1">TblImps[[#This Row],[Real time]]</f>
        <v>45816.833333333227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45816.833333333227</v>
      </c>
      <c r="BZ48" s="294">
        <f ca="1">OFFSET(TblImps[[#This Row],[Servertime]],-1,0)+1/24</f>
        <v>45816.833333333227</v>
      </c>
      <c r="CA48" s="57"/>
      <c r="CB48" s="292"/>
      <c r="CC48" s="292"/>
    </row>
    <row r="49" spans="1:81" x14ac:dyDescent="0.2">
      <c r="A49" s="214">
        <f ca="1">TblConstr[[#This Row],[Land]]</f>
        <v>50</v>
      </c>
      <c r="B49" s="142"/>
      <c r="C49" s="94">
        <f ca="1">TblProd[[#This Row],[Platinum]]</f>
        <v>166135</v>
      </c>
      <c r="D49" s="94">
        <f ca="1">TblProd[[#This Row],[Lumber]]</f>
        <v>45923</v>
      </c>
      <c r="E49" s="94">
        <f ca="1">TblProd[[#This Row],[Ore]]</f>
        <v>0</v>
      </c>
      <c r="F49" s="94">
        <f ca="1">TblProd[[#This Row],[Gems]]</f>
        <v>0</v>
      </c>
      <c r="G49" s="154"/>
      <c r="H49" s="94">
        <f ca="1">TblMili[[#This Row],[Draftees]]</f>
        <v>468</v>
      </c>
      <c r="I49" s="180">
        <f ca="1">TblPop[[#This Row],[Employment]]</f>
        <v>1</v>
      </c>
      <c r="J49" s="180">
        <f ca="1">TblPop[[#This Row],[Total]]/TblPop[[#This Row],[Net max]]</f>
        <v>1</v>
      </c>
      <c r="K49" s="283">
        <f>TblRezone[[#This Row],[Hour]]</f>
        <v>46</v>
      </c>
      <c r="L49" s="284">
        <f ca="1">TblImps[[#This Row],[Real time]]</f>
        <v>45816.874999999891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45816.874999999891</v>
      </c>
      <c r="BZ49" s="294">
        <f ca="1">OFFSET(TblImps[[#This Row],[Servertime]],-1,0)+1/24</f>
        <v>45816.874999999891</v>
      </c>
      <c r="CA49" s="57"/>
      <c r="CB49" s="292"/>
      <c r="CC49" s="292"/>
    </row>
    <row r="50" spans="1:81" x14ac:dyDescent="0.2">
      <c r="A50" s="214">
        <f ca="1">TblConstr[[#This Row],[Land]]</f>
        <v>50</v>
      </c>
      <c r="B50" s="142"/>
      <c r="C50" s="94">
        <f ca="1">TblProd[[#This Row],[Platinum]]</f>
        <v>166947</v>
      </c>
      <c r="D50" s="94">
        <f ca="1">TblProd[[#This Row],[Lumber]]</f>
        <v>46464</v>
      </c>
      <c r="E50" s="94">
        <f ca="1">TblProd[[#This Row],[Ore]]</f>
        <v>0</v>
      </c>
      <c r="F50" s="94">
        <f ca="1">TblProd[[#This Row],[Gems]]</f>
        <v>0</v>
      </c>
      <c r="G50" s="154"/>
      <c r="H50" s="94">
        <f ca="1">TblMili[[#This Row],[Draftees]]</f>
        <v>471</v>
      </c>
      <c r="I50" s="180">
        <f ca="1">TblPop[[#This Row],[Employment]]</f>
        <v>1</v>
      </c>
      <c r="J50" s="180">
        <f ca="1">TblPop[[#This Row],[Total]]/TblPop[[#This Row],[Net max]]</f>
        <v>1</v>
      </c>
      <c r="K50" s="283">
        <f>TblRezone[[#This Row],[Hour]]</f>
        <v>47</v>
      </c>
      <c r="L50" s="284">
        <f ca="1">TblImps[[#This Row],[Real time]]</f>
        <v>45816.916666666555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45816.916666666555</v>
      </c>
      <c r="BZ50" s="294">
        <f ca="1">OFFSET(TblImps[[#This Row],[Servertime]],-1,0)+1/24</f>
        <v>45816.916666666555</v>
      </c>
      <c r="CA50" s="57"/>
      <c r="CB50" s="292"/>
      <c r="CC50" s="292"/>
    </row>
    <row r="51" spans="1:81" x14ac:dyDescent="0.2">
      <c r="A51" s="214">
        <f ca="1">TblConstr[[#This Row],[Land]]</f>
        <v>50</v>
      </c>
      <c r="B51" s="142"/>
      <c r="C51" s="94">
        <f ca="1">TblProd[[#This Row],[Platinum]]</f>
        <v>167751</v>
      </c>
      <c r="D51" s="94">
        <f ca="1">TblProd[[#This Row],[Lumber]]</f>
        <v>46999</v>
      </c>
      <c r="E51" s="94">
        <f ca="1">TblProd[[#This Row],[Ore]]</f>
        <v>0</v>
      </c>
      <c r="F51" s="94">
        <f ca="1">TblProd[[#This Row],[Gems]]</f>
        <v>0</v>
      </c>
      <c r="G51" s="154"/>
      <c r="H51" s="94">
        <f ca="1">TblMili[[#This Row],[Draftees]]</f>
        <v>474</v>
      </c>
      <c r="I51" s="180">
        <f ca="1">TblPop[[#This Row],[Employment]]</f>
        <v>1</v>
      </c>
      <c r="J51" s="180">
        <f ca="1">TblPop[[#This Row],[Total]]/TblPop[[#This Row],[Net max]]</f>
        <v>1</v>
      </c>
      <c r="K51" s="283">
        <f>TblRezone[[#This Row],[Hour]]</f>
        <v>48</v>
      </c>
      <c r="L51" s="284">
        <f ca="1">TblImps[[#This Row],[Real time]]</f>
        <v>45816.958333333219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45816.958333333219</v>
      </c>
      <c r="BZ51" s="294">
        <f ca="1">OFFSET(TblImps[[#This Row],[Servertime]],-1,0)+1/24</f>
        <v>45816.958333333219</v>
      </c>
      <c r="CA51" s="57"/>
      <c r="CB51" s="292"/>
      <c r="CC51" s="292"/>
    </row>
    <row r="52" spans="1:81" s="5" customFormat="1" x14ac:dyDescent="0.2">
      <c r="A52" s="230">
        <f ca="1">TblConstr[[#This Row],[Land]]</f>
        <v>50</v>
      </c>
      <c r="B52" s="149"/>
      <c r="C52" s="35">
        <f ca="1">TblProd[[#This Row],[Platinum]]</f>
        <v>168547</v>
      </c>
      <c r="D52" s="35">
        <f ca="1">TblProd[[#This Row],[Lumber]]</f>
        <v>47529</v>
      </c>
      <c r="E52" s="35">
        <f ca="1">TblProd[[#This Row],[Ore]]</f>
        <v>0</v>
      </c>
      <c r="F52" s="35">
        <f ca="1">TblProd[[#This Row],[Gems]]</f>
        <v>0</v>
      </c>
      <c r="G52" s="162"/>
      <c r="H52" s="35">
        <f ca="1">TblMili[[#This Row],[Draftees]]</f>
        <v>477</v>
      </c>
      <c r="I52" s="436">
        <f ca="1">TblPop[[#This Row],[Employment]]</f>
        <v>1</v>
      </c>
      <c r="J52" s="436">
        <f ca="1">TblPop[[#This Row],[Total]]/TblPop[[#This Row],[Net max]]</f>
        <v>1</v>
      </c>
      <c r="K52" s="298">
        <f>TblRezone[[#This Row],[Hour]]</f>
        <v>49</v>
      </c>
      <c r="L52" s="299">
        <f ca="1">TblImps[[#This Row],[Real time]]</f>
        <v>45816.999999999884</v>
      </c>
      <c r="M52" s="148">
        <f>IF(ISERROR(TblImps[[#This Row],[algorithm]]),0,TblImps[[#This Row],[algorithm]]*1)</f>
        <v>0</v>
      </c>
      <c r="N52" s="35">
        <f ca="1">TblImps[[#This Row],[Land]]</f>
        <v>50</v>
      </c>
      <c r="O52" s="300" t="s">
        <v>4</v>
      </c>
      <c r="P52" s="301"/>
      <c r="Q52" s="300" t="s">
        <v>210</v>
      </c>
      <c r="R52" s="300" t="s">
        <v>7</v>
      </c>
      <c r="S52" s="301"/>
      <c r="T52" s="300" t="s">
        <v>210</v>
      </c>
      <c r="U52" s="300" t="s">
        <v>3</v>
      </c>
      <c r="V52" s="301"/>
      <c r="W52" s="300" t="s">
        <v>210</v>
      </c>
      <c r="X52" s="149"/>
      <c r="Y52" s="462">
        <f ca="1">science_cap*(1-EXP(-TblImps[[#This Row],[Σ Science]]/(science_param*(OFFSET(TblImps[[#This Row],[Land]],1,0)-OFFSET(TblExplore[[#This Row],[Land Bonus]],1,0)*20)+15000)))*(1+(mason_bonus*TblConstr[[#This Row],[Tot Mas]]/TblConstr[[#This Row],[Land (2)]]))</f>
        <v>0</v>
      </c>
      <c r="Z52" s="462">
        <f ca="1">keep_cap*(1-EXP(-TblImps[[#This Row],[Σ Keep]]/(keep_param*(OFFSET(TblImps[[#This Row],[Land]],1,0)-OFFSET(TblExplore[[#This Row],[Land Bonus]],1,0)*20)+15000)))*(1+(mason_bonus*TblConstr[[#This Row],[Tot Mas]]/TblConstr[[#This Row],[Land (2)]]))</f>
        <v>0</v>
      </c>
      <c r="AA52" s="462">
        <f ca="1">harbor_towers_cap*(1-EXP(-TblImps[[#This Row],[Σ Spires]]/(towers_param*(OFFSET(TblImps[[#This Row],[Land]],1,0)-OFFSET(TblExplore[[#This Row],[Land Bonus]],1,0)*20)+15000)))*(1+(mason_bonus*TblConstr[[#This Row],[Tot Mas]]/TblConstr[[#This Row],[Land (2)]]))</f>
        <v>0</v>
      </c>
      <c r="AB52" s="462">
        <f ca="1">walls_forges_cap*(1-EXP(-TblImps[[#This Row],[Σ Forges]]/(walls_forges_param*(OFFSET(TblImps[[#This Row],[Land]],1,0)-OFFSET(TblExplore[[#This Row],[Land Bonus]],1,0)*20)+15000)))*(1+(mason_bonus*TblConstr[[#This Row],[Tot Mas]]/TblConstr[[#This Row],[Land (2)]]))</f>
        <v>0</v>
      </c>
      <c r="AC52" s="462">
        <f ca="1">walls_forges_cap*(1-EXP(-TblImps[[#This Row],[Σ Walls]]/(walls_forges_param*(OFFSET(TblImps[[#This Row],[Land]],1,0)-OFFSET(TblExplore[[#This Row],[Land Bonus]],1,0)*20)+15000)))*(1+(mason_bonus*TblConstr[[#This Row],[Tot Mas]]/TblConstr[[#This Row],[Land (2)]]))</f>
        <v>0</v>
      </c>
      <c r="AD52" s="462">
        <f ca="1">harbor_towers_cap*(1-EXP(-TblImps[[#This Row],[Σ Harbor]]/(harbor_towers_param*(OFFSET(TblImps[[#This Row],[Land]],1,0)-OFFSET(TblExplore[[#This Row],[Land Bonus]],1,0)*20)+15000)))*(1+(mason_bonus*TblConstr[[#This Row],[Tot Mas]]/TblConstr[[#This Row],[Land (2)]]))</f>
        <v>0</v>
      </c>
      <c r="AE52" s="149"/>
      <c r="AF52" s="148">
        <f ca="1">(1+Overview!$I$29)*SUM(TblImps[[#This Row],[P2]:[G2]])+OFFSET(TblImps[[#This Row],[Σ Science]],-1,0)</f>
        <v>0</v>
      </c>
      <c r="AG52" s="148">
        <f ca="1">(1+Overview!$I$29)*SUM(TblImps[[#This Row],[P3]:[G3]])+OFFSET(TblImps[[#This Row],[Σ Keep]],-1,0)</f>
        <v>0</v>
      </c>
      <c r="AH52" s="148">
        <f ca="1">(1+Overview!$I$29 + tech_7_1*TblTech[[#This Row],[7-1]])*SUM(TblImps[[#This Row],[P4]:[G4]])+OFFSET(TblImps[[#This Row],[Σ Spires]],-1,0)</f>
        <v>0</v>
      </c>
      <c r="AI52" s="148">
        <f ca="1">(1+Overview!$I$29)*SUM(TblImps[[#This Row],[P5]:[G5]])+OFFSET(TblImps[[#This Row],[Σ Forges]],-1,0)</f>
        <v>0</v>
      </c>
      <c r="AJ52" s="148">
        <f ca="1">(1+Overview!$I$29)*SUM(TblImps[[#This Row],[P6]:[G6]])+OFFSET(TblImps[[#This Row],[Σ Walls]],-1,0)</f>
        <v>0</v>
      </c>
      <c r="AK52" s="148">
        <f ca="1">(1+Overview!$I$29 + tech_7_1*TblTech[[#This Row],[7-1]])*SUM(TblImps[[#This Row],[P7]:[G7]])+OFFSET(TblImps[[#This Row],[Σ Harbor]],-1,0)</f>
        <v>0</v>
      </c>
      <c r="AL52" s="149"/>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49"/>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9"/>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9"/>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9"/>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9"/>
      <c r="BL52"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9"/>
      <c r="BQ52"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9"/>
      <c r="BV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148">
        <f>TblImps[[#This Row],[Login]]</f>
        <v>0</v>
      </c>
      <c r="BX52" s="144"/>
      <c r="BY52" s="463">
        <f ca="1">OFFSET(TblImps[[#This Row],[Real time]],-1,0)+1/24</f>
        <v>45816.999999999884</v>
      </c>
      <c r="BZ52" s="464">
        <f ca="1">OFFSET(TblImps[[#This Row],[Servertime]],-1,0)+1/24</f>
        <v>45816.999999999884</v>
      </c>
      <c r="CA52" s="28"/>
      <c r="CB52" s="465"/>
      <c r="CC52" s="465"/>
    </row>
    <row r="53" spans="1:81" x14ac:dyDescent="0.2">
      <c r="A53" s="214">
        <f ca="1">TblConstr[[#This Row],[Land]]</f>
        <v>50</v>
      </c>
      <c r="B53" s="142"/>
      <c r="C53" s="94">
        <f ca="1">TblProd[[#This Row],[Platinum]]</f>
        <v>169335</v>
      </c>
      <c r="D53" s="94">
        <f ca="1">TblProd[[#This Row],[Lumber]]</f>
        <v>48054</v>
      </c>
      <c r="E53" s="94">
        <f ca="1">TblProd[[#This Row],[Ore]]</f>
        <v>0</v>
      </c>
      <c r="F53" s="94">
        <f ca="1">TblProd[[#This Row],[Gems]]</f>
        <v>0</v>
      </c>
      <c r="G53" s="154"/>
      <c r="H53" s="94">
        <f ca="1">TblMili[[#This Row],[Draftees]]</f>
        <v>480</v>
      </c>
      <c r="I53" s="180">
        <f ca="1">TblPop[[#This Row],[Employment]]</f>
        <v>1</v>
      </c>
      <c r="J53" s="180">
        <f ca="1">TblPop[[#This Row],[Total]]/TblPop[[#This Row],[Net max]]</f>
        <v>1</v>
      </c>
      <c r="K53" s="283">
        <f>TblRezone[[#This Row],[Hour]]</f>
        <v>50</v>
      </c>
      <c r="L53" s="284">
        <f ca="1">TblImps[[#This Row],[Real time]]</f>
        <v>45817.041666666548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45817.041666666548</v>
      </c>
      <c r="BZ53" s="294">
        <f ca="1">OFFSET(TblImps[[#This Row],[Servertime]],-1,0)+1/24</f>
        <v>45817.041666666548</v>
      </c>
      <c r="CA53" s="57"/>
      <c r="CB53" s="292"/>
      <c r="CC53" s="292"/>
    </row>
    <row r="54" spans="1:81" x14ac:dyDescent="0.2">
      <c r="A54" s="214">
        <f ca="1">TblConstr[[#This Row],[Land]]</f>
        <v>50</v>
      </c>
      <c r="B54" s="142"/>
      <c r="C54" s="94">
        <f ca="1">TblProd[[#This Row],[Platinum]]</f>
        <v>170115</v>
      </c>
      <c r="D54" s="94">
        <f ca="1">TblProd[[#This Row],[Lumber]]</f>
        <v>48573</v>
      </c>
      <c r="E54" s="94">
        <f ca="1">TblProd[[#This Row],[Ore]]</f>
        <v>0</v>
      </c>
      <c r="F54" s="94">
        <f ca="1">TblProd[[#This Row],[Gems]]</f>
        <v>0</v>
      </c>
      <c r="G54" s="154"/>
      <c r="H54" s="94">
        <f ca="1">TblMili[[#This Row],[Draftees]]</f>
        <v>483</v>
      </c>
      <c r="I54" s="180">
        <f ca="1">TblPop[[#This Row],[Employment]]</f>
        <v>1</v>
      </c>
      <c r="J54" s="180">
        <f ca="1">TblPop[[#This Row],[Total]]/TblPop[[#This Row],[Net max]]</f>
        <v>1</v>
      </c>
      <c r="K54" s="283">
        <f>TblRezone[[#This Row],[Hour]]</f>
        <v>51</v>
      </c>
      <c r="L54" s="284">
        <f ca="1">TblImps[[#This Row],[Real time]]</f>
        <v>45817.083333333212</v>
      </c>
      <c r="M54" s="61">
        <f>IF(ISERROR(TblImps[[#This Row],[algorithm]]),0,TblImps[[#This Row],[algorithm]]*1)</f>
        <v>0</v>
      </c>
      <c r="N54" s="94">
        <f ca="1">TblImps[[#This Row],[Land]]</f>
        <v>50</v>
      </c>
      <c r="O54" s="285" t="s">
        <v>2</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45817.083333333212</v>
      </c>
      <c r="BZ54" s="294">
        <f ca="1">OFFSET(TblImps[[#This Row],[Servertime]],-1,0)+1/24</f>
        <v>45817.083333333212</v>
      </c>
      <c r="CA54" s="57"/>
      <c r="CB54" s="292"/>
      <c r="CC54" s="292"/>
    </row>
    <row r="55" spans="1:81" x14ac:dyDescent="0.2">
      <c r="A55" s="214">
        <f ca="1">TblConstr[[#This Row],[Land]]</f>
        <v>50</v>
      </c>
      <c r="B55" s="142"/>
      <c r="C55" s="94">
        <f ca="1">TblProd[[#This Row],[Platinum]]</f>
        <v>170887</v>
      </c>
      <c r="D55" s="94">
        <f ca="1">TblProd[[#This Row],[Lumber]]</f>
        <v>49087</v>
      </c>
      <c r="E55" s="94">
        <f ca="1">TblProd[[#This Row],[Ore]]</f>
        <v>0</v>
      </c>
      <c r="F55" s="94">
        <f ca="1">TblProd[[#This Row],[Gems]]</f>
        <v>0</v>
      </c>
      <c r="G55" s="154"/>
      <c r="H55" s="94">
        <f ca="1">TblMili[[#This Row],[Draftees]]</f>
        <v>486</v>
      </c>
      <c r="I55" s="180">
        <f ca="1">TblPop[[#This Row],[Employment]]</f>
        <v>1</v>
      </c>
      <c r="J55" s="180">
        <f ca="1">TblPop[[#This Row],[Total]]/TblPop[[#This Row],[Net max]]</f>
        <v>1</v>
      </c>
      <c r="K55" s="283">
        <f>TblRezone[[#This Row],[Hour]]</f>
        <v>52</v>
      </c>
      <c r="L55" s="284">
        <f ca="1">TblImps[[#This Row],[Real time]]</f>
        <v>45817.124999999876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45817.124999999876</v>
      </c>
      <c r="BZ55" s="294">
        <f ca="1">OFFSET(TblImps[[#This Row],[Servertime]],-1,0)+1/24</f>
        <v>45817.124999999876</v>
      </c>
      <c r="CA55" s="57"/>
      <c r="CB55" s="292"/>
      <c r="CC55" s="292"/>
    </row>
    <row r="56" spans="1:81" x14ac:dyDescent="0.2">
      <c r="A56" s="214">
        <f ca="1">TblConstr[[#This Row],[Land]]</f>
        <v>50</v>
      </c>
      <c r="B56" s="142"/>
      <c r="C56" s="94">
        <f ca="1">TblProd[[#This Row],[Platinum]]</f>
        <v>171651</v>
      </c>
      <c r="D56" s="94">
        <f ca="1">TblProd[[#This Row],[Lumber]]</f>
        <v>49596</v>
      </c>
      <c r="E56" s="94">
        <f ca="1">TblProd[[#This Row],[Ore]]</f>
        <v>0</v>
      </c>
      <c r="F56" s="94">
        <f ca="1">TblProd[[#This Row],[Gems]]</f>
        <v>0</v>
      </c>
      <c r="G56" s="154"/>
      <c r="H56" s="94">
        <f ca="1">TblMili[[#This Row],[Draftees]]</f>
        <v>489</v>
      </c>
      <c r="I56" s="180">
        <f ca="1">TblPop[[#This Row],[Employment]]</f>
        <v>1</v>
      </c>
      <c r="J56" s="180">
        <f ca="1">TblPop[[#This Row],[Total]]/TblPop[[#This Row],[Net max]]</f>
        <v>1</v>
      </c>
      <c r="K56" s="283">
        <f>TblRezone[[#This Row],[Hour]]</f>
        <v>53</v>
      </c>
      <c r="L56" s="284">
        <f ca="1">TblImps[[#This Row],[Real time]]</f>
        <v>45817.166666666541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45817.166666666541</v>
      </c>
      <c r="BZ56" s="294">
        <f ca="1">OFFSET(TblImps[[#This Row],[Servertime]],-1,0)+1/24</f>
        <v>45817.166666666541</v>
      </c>
      <c r="CA56" s="57"/>
      <c r="CB56" s="292"/>
      <c r="CC56" s="292"/>
    </row>
    <row r="57" spans="1:81" x14ac:dyDescent="0.2">
      <c r="A57" s="214">
        <f ca="1">TblConstr[[#This Row],[Land]]</f>
        <v>50</v>
      </c>
      <c r="B57" s="142"/>
      <c r="C57" s="94">
        <f ca="1">TblProd[[#This Row],[Platinum]]</f>
        <v>172407</v>
      </c>
      <c r="D57" s="94">
        <f ca="1">TblProd[[#This Row],[Lumber]]</f>
        <v>50100</v>
      </c>
      <c r="E57" s="94">
        <f ca="1">TblProd[[#This Row],[Ore]]</f>
        <v>0</v>
      </c>
      <c r="F57" s="94">
        <f ca="1">TblProd[[#This Row],[Gems]]</f>
        <v>0</v>
      </c>
      <c r="G57" s="154"/>
      <c r="H57" s="94">
        <f ca="1">TblMili[[#This Row],[Draftees]]</f>
        <v>492</v>
      </c>
      <c r="I57" s="180">
        <f ca="1">TblPop[[#This Row],[Employment]]</f>
        <v>1</v>
      </c>
      <c r="J57" s="180">
        <f ca="1">TblPop[[#This Row],[Total]]/TblPop[[#This Row],[Net max]]</f>
        <v>1</v>
      </c>
      <c r="K57" s="283">
        <f>TblRezone[[#This Row],[Hour]]</f>
        <v>54</v>
      </c>
      <c r="L57" s="284">
        <f ca="1">TblImps[[#This Row],[Real time]]</f>
        <v>45817.208333333205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45817.208333333205</v>
      </c>
      <c r="BZ57" s="294">
        <f ca="1">OFFSET(TblImps[[#This Row],[Servertime]],-1,0)+1/24</f>
        <v>45817.208333333205</v>
      </c>
      <c r="CA57" s="57"/>
      <c r="CB57" s="292"/>
      <c r="CC57" s="292"/>
    </row>
    <row r="58" spans="1:81" x14ac:dyDescent="0.2">
      <c r="A58" s="214">
        <f ca="1">TblConstr[[#This Row],[Land]]</f>
        <v>50</v>
      </c>
      <c r="B58" s="142"/>
      <c r="C58" s="94">
        <f ca="1">TblProd[[#This Row],[Platinum]]</f>
        <v>173154</v>
      </c>
      <c r="D58" s="94">
        <f ca="1">TblProd[[#This Row],[Lumber]]</f>
        <v>50599</v>
      </c>
      <c r="E58" s="94">
        <f ca="1">TblProd[[#This Row],[Ore]]</f>
        <v>0</v>
      </c>
      <c r="F58" s="94">
        <f ca="1">TblProd[[#This Row],[Gems]]</f>
        <v>0</v>
      </c>
      <c r="G58" s="154"/>
      <c r="H58" s="94">
        <f ca="1">TblMili[[#This Row],[Draftees]]</f>
        <v>495</v>
      </c>
      <c r="I58" s="180">
        <f ca="1">TblPop[[#This Row],[Employment]]</f>
        <v>1</v>
      </c>
      <c r="J58" s="180">
        <f ca="1">TblPop[[#This Row],[Total]]/TblPop[[#This Row],[Net max]]</f>
        <v>1</v>
      </c>
      <c r="K58" s="283">
        <f>TblRezone[[#This Row],[Hour]]</f>
        <v>55</v>
      </c>
      <c r="L58" s="284">
        <f ca="1">TblImps[[#This Row],[Real time]]</f>
        <v>45817.249999999869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45817.249999999869</v>
      </c>
      <c r="BZ58" s="294">
        <f ca="1">OFFSET(TblImps[[#This Row],[Servertime]],-1,0)+1/24</f>
        <v>45817.249999999869</v>
      </c>
      <c r="CA58" s="57"/>
      <c r="CB58" s="292"/>
      <c r="CC58" s="292"/>
    </row>
    <row r="59" spans="1:81" x14ac:dyDescent="0.2">
      <c r="A59" s="214">
        <f ca="1">TblConstr[[#This Row],[Land]]</f>
        <v>50</v>
      </c>
      <c r="B59" s="142"/>
      <c r="C59" s="94">
        <f ca="1">TblProd[[#This Row],[Platinum]]</f>
        <v>173893</v>
      </c>
      <c r="D59" s="94">
        <f ca="1">TblProd[[#This Row],[Lumber]]</f>
        <v>51093</v>
      </c>
      <c r="E59" s="94">
        <f ca="1">TblProd[[#This Row],[Ore]]</f>
        <v>0</v>
      </c>
      <c r="F59" s="94">
        <f ca="1">TblProd[[#This Row],[Gems]]</f>
        <v>0</v>
      </c>
      <c r="G59" s="154"/>
      <c r="H59" s="94">
        <f ca="1">TblMili[[#This Row],[Draftees]]</f>
        <v>498</v>
      </c>
      <c r="I59" s="180">
        <f ca="1">TblPop[[#This Row],[Employment]]</f>
        <v>1</v>
      </c>
      <c r="J59" s="180">
        <f ca="1">TblPop[[#This Row],[Total]]/TblPop[[#This Row],[Net max]]</f>
        <v>1</v>
      </c>
      <c r="K59" s="283">
        <f>TblRezone[[#This Row],[Hour]]</f>
        <v>56</v>
      </c>
      <c r="L59" s="284">
        <f ca="1">TblImps[[#This Row],[Real time]]</f>
        <v>45817.291666666533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45817.291666666533</v>
      </c>
      <c r="BZ59" s="294">
        <f ca="1">OFFSET(TblImps[[#This Row],[Servertime]],-1,0)+1/24</f>
        <v>45817.291666666533</v>
      </c>
      <c r="CA59" s="57"/>
      <c r="CB59" s="292"/>
      <c r="CC59" s="292"/>
    </row>
    <row r="60" spans="1:81" x14ac:dyDescent="0.2">
      <c r="A60" s="214">
        <f ca="1">TblConstr[[#This Row],[Land]]</f>
        <v>50</v>
      </c>
      <c r="B60" s="142"/>
      <c r="C60" s="94">
        <f ca="1">TblProd[[#This Row],[Platinum]]</f>
        <v>174624</v>
      </c>
      <c r="D60" s="94">
        <f ca="1">TblProd[[#This Row],[Lumber]]</f>
        <v>51582</v>
      </c>
      <c r="E60" s="94">
        <f ca="1">TblProd[[#This Row],[Ore]]</f>
        <v>0</v>
      </c>
      <c r="F60" s="94">
        <f ca="1">TblProd[[#This Row],[Gems]]</f>
        <v>0</v>
      </c>
      <c r="G60" s="154"/>
      <c r="H60" s="94">
        <f ca="1">TblMili[[#This Row],[Draftees]]</f>
        <v>501</v>
      </c>
      <c r="I60" s="180">
        <f ca="1">TblPop[[#This Row],[Employment]]</f>
        <v>1</v>
      </c>
      <c r="J60" s="180">
        <f ca="1">TblPop[[#This Row],[Total]]/TblPop[[#This Row],[Net max]]</f>
        <v>1</v>
      </c>
      <c r="K60" s="283">
        <f>TblRezone[[#This Row],[Hour]]</f>
        <v>57</v>
      </c>
      <c r="L60" s="284">
        <f ca="1">TblImps[[#This Row],[Real time]]</f>
        <v>45817.333333333198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45817.333333333198</v>
      </c>
      <c r="BZ60" s="294">
        <f ca="1">OFFSET(TblImps[[#This Row],[Servertime]],-1,0)+1/24</f>
        <v>45817.333333333198</v>
      </c>
      <c r="CA60" s="57"/>
      <c r="CB60" s="292"/>
      <c r="CC60" s="292"/>
    </row>
    <row r="61" spans="1:81" x14ac:dyDescent="0.2">
      <c r="A61" s="214">
        <f ca="1">TblConstr[[#This Row],[Land]]</f>
        <v>50</v>
      </c>
      <c r="B61" s="142"/>
      <c r="C61" s="94">
        <f ca="1">TblProd[[#This Row],[Platinum]]</f>
        <v>175347</v>
      </c>
      <c r="D61" s="94">
        <f ca="1">TblProd[[#This Row],[Lumber]]</f>
        <v>52066</v>
      </c>
      <c r="E61" s="94">
        <f ca="1">TblProd[[#This Row],[Ore]]</f>
        <v>0</v>
      </c>
      <c r="F61" s="94">
        <f ca="1">TblProd[[#This Row],[Gems]]</f>
        <v>0</v>
      </c>
      <c r="G61" s="154"/>
      <c r="H61" s="94">
        <f ca="1">TblMili[[#This Row],[Draftees]]</f>
        <v>504</v>
      </c>
      <c r="I61" s="180">
        <f ca="1">TblPop[[#This Row],[Employment]]</f>
        <v>1</v>
      </c>
      <c r="J61" s="180">
        <f ca="1">TblPop[[#This Row],[Total]]/TblPop[[#This Row],[Net max]]</f>
        <v>1</v>
      </c>
      <c r="K61" s="283">
        <f>TblRezone[[#This Row],[Hour]]</f>
        <v>58</v>
      </c>
      <c r="L61" s="284">
        <f ca="1">TblImps[[#This Row],[Real time]]</f>
        <v>45817.374999999862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45817.374999999862</v>
      </c>
      <c r="BZ61" s="294">
        <f ca="1">OFFSET(TblImps[[#This Row],[Servertime]],-1,0)+1/24</f>
        <v>45817.374999999862</v>
      </c>
      <c r="CA61" s="57"/>
      <c r="CB61" s="292"/>
      <c r="CC61" s="292"/>
    </row>
    <row r="62" spans="1:81" x14ac:dyDescent="0.2">
      <c r="A62" s="214">
        <f ca="1">TblConstr[[#This Row],[Land]]</f>
        <v>50</v>
      </c>
      <c r="B62" s="142"/>
      <c r="C62" s="94">
        <f ca="1">TblProd[[#This Row],[Platinum]]</f>
        <v>176062</v>
      </c>
      <c r="D62" s="94">
        <f ca="1">TblProd[[#This Row],[Lumber]]</f>
        <v>52545</v>
      </c>
      <c r="E62" s="94">
        <f ca="1">TblProd[[#This Row],[Ore]]</f>
        <v>0</v>
      </c>
      <c r="F62" s="94">
        <f ca="1">TblProd[[#This Row],[Gems]]</f>
        <v>0</v>
      </c>
      <c r="G62" s="154"/>
      <c r="H62" s="94">
        <f ca="1">TblMili[[#This Row],[Draftees]]</f>
        <v>507</v>
      </c>
      <c r="I62" s="180">
        <f ca="1">TblPop[[#This Row],[Employment]]</f>
        <v>1</v>
      </c>
      <c r="J62" s="180">
        <f ca="1">TblPop[[#This Row],[Total]]/TblPop[[#This Row],[Net max]]</f>
        <v>1</v>
      </c>
      <c r="K62" s="283">
        <f>TblRezone[[#This Row],[Hour]]</f>
        <v>59</v>
      </c>
      <c r="L62" s="284">
        <f ca="1">TblImps[[#This Row],[Real time]]</f>
        <v>45817.416666666526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45817.416666666526</v>
      </c>
      <c r="BZ62" s="294">
        <f ca="1">OFFSET(TblImps[[#This Row],[Servertime]],-1,0)+1/24</f>
        <v>45817.416666666526</v>
      </c>
      <c r="CA62" s="57"/>
      <c r="CB62" s="292"/>
      <c r="CC62" s="292"/>
    </row>
    <row r="63" spans="1:81" x14ac:dyDescent="0.2">
      <c r="A63" s="214">
        <f ca="1">TblConstr[[#This Row],[Land]]</f>
        <v>50</v>
      </c>
      <c r="B63" s="142"/>
      <c r="C63" s="94">
        <f ca="1">TblProd[[#This Row],[Platinum]]</f>
        <v>176769</v>
      </c>
      <c r="D63" s="94">
        <f ca="1">TblProd[[#This Row],[Lumber]]</f>
        <v>53020</v>
      </c>
      <c r="E63" s="94">
        <f ca="1">TblProd[[#This Row],[Ore]]</f>
        <v>0</v>
      </c>
      <c r="F63" s="94">
        <f ca="1">TblProd[[#This Row],[Gems]]</f>
        <v>0</v>
      </c>
      <c r="G63" s="154"/>
      <c r="H63" s="94">
        <f ca="1">TblMili[[#This Row],[Draftees]]</f>
        <v>510</v>
      </c>
      <c r="I63" s="180">
        <f ca="1">TblPop[[#This Row],[Employment]]</f>
        <v>1</v>
      </c>
      <c r="J63" s="180">
        <f ca="1">TblPop[[#This Row],[Total]]/TblPop[[#This Row],[Net max]]</f>
        <v>1</v>
      </c>
      <c r="K63" s="283">
        <f>TblRezone[[#This Row],[Hour]]</f>
        <v>60</v>
      </c>
      <c r="L63" s="284">
        <f ca="1">TblImps[[#This Row],[Real time]]</f>
        <v>45817.45833333319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45817.45833333319</v>
      </c>
      <c r="BZ63" s="294">
        <f ca="1">OFFSET(TblImps[[#This Row],[Servertime]],-1,0)+1/24</f>
        <v>45817.45833333319</v>
      </c>
      <c r="CA63" s="57"/>
      <c r="CB63" s="292"/>
      <c r="CC63" s="292"/>
    </row>
    <row r="64" spans="1:81" x14ac:dyDescent="0.2">
      <c r="A64" s="214">
        <f ca="1">TblConstr[[#This Row],[Land]]</f>
        <v>50</v>
      </c>
      <c r="B64" s="142"/>
      <c r="C64" s="94">
        <f ca="1">TblProd[[#This Row],[Platinum]]</f>
        <v>177468</v>
      </c>
      <c r="D64" s="94">
        <f ca="1">TblProd[[#This Row],[Lumber]]</f>
        <v>53490</v>
      </c>
      <c r="E64" s="94">
        <f ca="1">TblProd[[#This Row],[Ore]]</f>
        <v>0</v>
      </c>
      <c r="F64" s="94">
        <f ca="1">TblProd[[#This Row],[Gems]]</f>
        <v>0</v>
      </c>
      <c r="G64" s="154"/>
      <c r="H64" s="94">
        <f ca="1">TblMili[[#This Row],[Draftees]]</f>
        <v>513</v>
      </c>
      <c r="I64" s="180">
        <f ca="1">TblPop[[#This Row],[Employment]]</f>
        <v>1</v>
      </c>
      <c r="J64" s="180">
        <f ca="1">TblPop[[#This Row],[Total]]/TblPop[[#This Row],[Net max]]</f>
        <v>1</v>
      </c>
      <c r="K64" s="283">
        <f>TblRezone[[#This Row],[Hour]]</f>
        <v>61</v>
      </c>
      <c r="L64" s="284">
        <f ca="1">TblImps[[#This Row],[Real time]]</f>
        <v>45817.499999999854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45817.499999999854</v>
      </c>
      <c r="BZ64" s="294">
        <f ca="1">OFFSET(TblImps[[#This Row],[Servertime]],-1,0)+1/24</f>
        <v>45817.499999999854</v>
      </c>
      <c r="CA64" s="57"/>
      <c r="CB64" s="292"/>
      <c r="CC64" s="292"/>
    </row>
    <row r="65" spans="1:84" x14ac:dyDescent="0.2">
      <c r="A65" s="214">
        <f ca="1">TblConstr[[#This Row],[Land]]</f>
        <v>50</v>
      </c>
      <c r="B65" s="142"/>
      <c r="C65" s="94">
        <f ca="1">TblProd[[#This Row],[Platinum]]</f>
        <v>178159</v>
      </c>
      <c r="D65" s="94">
        <f ca="1">TblProd[[#This Row],[Lumber]]</f>
        <v>53955</v>
      </c>
      <c r="E65" s="94">
        <f ca="1">TblProd[[#This Row],[Ore]]</f>
        <v>0</v>
      </c>
      <c r="F65" s="94">
        <f ca="1">TblProd[[#This Row],[Gems]]</f>
        <v>0</v>
      </c>
      <c r="G65" s="154"/>
      <c r="H65" s="94">
        <f ca="1">TblMili[[#This Row],[Draftees]]</f>
        <v>516</v>
      </c>
      <c r="I65" s="180">
        <f ca="1">TblPop[[#This Row],[Employment]]</f>
        <v>1</v>
      </c>
      <c r="J65" s="180">
        <f ca="1">TblPop[[#This Row],[Total]]/TblPop[[#This Row],[Net max]]</f>
        <v>1</v>
      </c>
      <c r="K65" s="283">
        <f>TblRezone[[#This Row],[Hour]]</f>
        <v>62</v>
      </c>
      <c r="L65" s="284">
        <f ca="1">TblImps[[#This Row],[Real time]]</f>
        <v>45817.541666666519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45817.541666666519</v>
      </c>
      <c r="BZ65" s="294">
        <f ca="1">OFFSET(TblImps[[#This Row],[Servertime]],-1,0)+1/24</f>
        <v>45817.541666666519</v>
      </c>
      <c r="CA65" s="57"/>
      <c r="CB65" s="292"/>
      <c r="CC65" s="292"/>
    </row>
    <row r="66" spans="1:84" x14ac:dyDescent="0.2">
      <c r="A66" s="214">
        <f ca="1">TblConstr[[#This Row],[Land]]</f>
        <v>50</v>
      </c>
      <c r="B66" s="142"/>
      <c r="C66" s="94">
        <f ca="1">TblProd[[#This Row],[Platinum]]</f>
        <v>178842</v>
      </c>
      <c r="D66" s="94">
        <f ca="1">TblProd[[#This Row],[Lumber]]</f>
        <v>54415</v>
      </c>
      <c r="E66" s="94">
        <f ca="1">TblProd[[#This Row],[Ore]]</f>
        <v>0</v>
      </c>
      <c r="F66" s="94">
        <f ca="1">TblProd[[#This Row],[Gems]]</f>
        <v>0</v>
      </c>
      <c r="G66" s="154"/>
      <c r="H66" s="94">
        <f ca="1">TblMili[[#This Row],[Draftees]]</f>
        <v>519</v>
      </c>
      <c r="I66" s="180">
        <f ca="1">TblPop[[#This Row],[Employment]]</f>
        <v>1</v>
      </c>
      <c r="J66" s="180">
        <f ca="1">TblPop[[#This Row],[Total]]/TblPop[[#This Row],[Net max]]</f>
        <v>1</v>
      </c>
      <c r="K66" s="283">
        <f>TblRezone[[#This Row],[Hour]]</f>
        <v>63</v>
      </c>
      <c r="L66" s="284">
        <f ca="1">TblImps[[#This Row],[Real time]]</f>
        <v>45817.583333333183</v>
      </c>
      <c r="M66" s="61">
        <f>IF(ISERROR(TblImps[[#This Row],[algorithm]]),0,TblImps[[#This Row],[algorithm]]*1)</f>
        <v>0</v>
      </c>
      <c r="N66" s="94">
        <f ca="1">TblImps[[#This Row],[Land]]</f>
        <v>50</v>
      </c>
      <c r="O66" s="285" t="s">
        <v>2</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45817.583333333183</v>
      </c>
      <c r="BZ66" s="294">
        <f ca="1">OFFSET(TblImps[[#This Row],[Servertime]],-1,0)+1/24</f>
        <v>45817.583333333183</v>
      </c>
      <c r="CA66" s="297"/>
      <c r="CB66" s="292"/>
      <c r="CC66" s="292"/>
    </row>
    <row r="67" spans="1:84" x14ac:dyDescent="0.2">
      <c r="A67" s="214">
        <f ca="1">TblConstr[[#This Row],[Land]]</f>
        <v>50</v>
      </c>
      <c r="B67" s="142"/>
      <c r="C67" s="94">
        <f ca="1">TblProd[[#This Row],[Platinum]]</f>
        <v>179517</v>
      </c>
      <c r="D67" s="94">
        <f ca="1">TblProd[[#This Row],[Lumber]]</f>
        <v>54871</v>
      </c>
      <c r="E67" s="94">
        <f ca="1">TblProd[[#This Row],[Ore]]</f>
        <v>0</v>
      </c>
      <c r="F67" s="94">
        <f ca="1">TblProd[[#This Row],[Gems]]</f>
        <v>0</v>
      </c>
      <c r="G67" s="154"/>
      <c r="H67" s="94">
        <f ca="1">TblMili[[#This Row],[Draftees]]</f>
        <v>522</v>
      </c>
      <c r="I67" s="180">
        <f ca="1">TblPop[[#This Row],[Employment]]</f>
        <v>1</v>
      </c>
      <c r="J67" s="180">
        <f ca="1">TblPop[[#This Row],[Total]]/TblPop[[#This Row],[Net max]]</f>
        <v>1</v>
      </c>
      <c r="K67" s="283">
        <f>TblRezone[[#This Row],[Hour]]</f>
        <v>64</v>
      </c>
      <c r="L67" s="284">
        <f ca="1">TblImps[[#This Row],[Real time]]</f>
        <v>45817.624999999847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45817.624999999847</v>
      </c>
      <c r="BZ67" s="294">
        <f ca="1">OFFSET(TblImps[[#This Row],[Servertime]],-1,0)+1/24</f>
        <v>45817.624999999847</v>
      </c>
      <c r="CA67" s="57"/>
      <c r="CB67" s="292"/>
      <c r="CC67" s="292"/>
    </row>
    <row r="68" spans="1:84" x14ac:dyDescent="0.2">
      <c r="A68" s="214">
        <f ca="1">TblConstr[[#This Row],[Land]]</f>
        <v>50</v>
      </c>
      <c r="B68" s="142"/>
      <c r="C68" s="94">
        <f ca="1">TblProd[[#This Row],[Platinum]]</f>
        <v>180183</v>
      </c>
      <c r="D68" s="94">
        <f ca="1">TblProd[[#This Row],[Lumber]]</f>
        <v>55322</v>
      </c>
      <c r="E68" s="94">
        <f ca="1">TblProd[[#This Row],[Ore]]</f>
        <v>0</v>
      </c>
      <c r="F68" s="94">
        <f ca="1">TblProd[[#This Row],[Gems]]</f>
        <v>0</v>
      </c>
      <c r="G68" s="154"/>
      <c r="H68" s="94">
        <f ca="1">TblMili[[#This Row],[Draftees]]</f>
        <v>524</v>
      </c>
      <c r="I68" s="180">
        <f ca="1">TblPop[[#This Row],[Employment]]</f>
        <v>1</v>
      </c>
      <c r="J68" s="180">
        <f ca="1">TblPop[[#This Row],[Total]]/TblPop[[#This Row],[Net max]]</f>
        <v>1</v>
      </c>
      <c r="K68" s="283">
        <f>TblRezone[[#This Row],[Hour]]</f>
        <v>65</v>
      </c>
      <c r="L68" s="284">
        <f ca="1">TblImps[[#This Row],[Real time]]</f>
        <v>45817.666666666511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45817.666666666511</v>
      </c>
      <c r="BZ68" s="294">
        <f ca="1">OFFSET(TblImps[[#This Row],[Servertime]],-1,0)+1/24</f>
        <v>45817.666666666511</v>
      </c>
      <c r="CA68" s="57"/>
      <c r="CB68" s="292"/>
      <c r="CC68" s="292"/>
    </row>
    <row r="69" spans="1:84" x14ac:dyDescent="0.2">
      <c r="A69" s="214">
        <f ca="1">TblConstr[[#This Row],[Land]]</f>
        <v>50</v>
      </c>
      <c r="B69" s="142"/>
      <c r="C69" s="94">
        <f ca="1">TblProd[[#This Row],[Platinum]]</f>
        <v>180844</v>
      </c>
      <c r="D69" s="94">
        <f ca="1">TblProd[[#This Row],[Lumber]]</f>
        <v>55769</v>
      </c>
      <c r="E69" s="94">
        <f ca="1">TblProd[[#This Row],[Ore]]</f>
        <v>0</v>
      </c>
      <c r="F69" s="94">
        <f ca="1">TblProd[[#This Row],[Gems]]</f>
        <v>0</v>
      </c>
      <c r="G69" s="154"/>
      <c r="H69" s="94">
        <f ca="1">TblMili[[#This Row],[Draftees]]</f>
        <v>526</v>
      </c>
      <c r="I69" s="180">
        <f ca="1">TblPop[[#This Row],[Employment]]</f>
        <v>1</v>
      </c>
      <c r="J69" s="180">
        <f ca="1">TblPop[[#This Row],[Total]]/TblPop[[#This Row],[Net max]]</f>
        <v>1</v>
      </c>
      <c r="K69" s="283">
        <f>TblRezone[[#This Row],[Hour]]</f>
        <v>66</v>
      </c>
      <c r="L69" s="284">
        <f ca="1">TblImps[[#This Row],[Real time]]</f>
        <v>45817.708333333176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45817.708333333176</v>
      </c>
      <c r="BZ69" s="294">
        <f ca="1">OFFSET(TblImps[[#This Row],[Servertime]],-1,0)+1/24</f>
        <v>45817.708333333176</v>
      </c>
      <c r="CA69" s="57"/>
      <c r="CB69" s="292"/>
      <c r="CC69" s="292"/>
    </row>
    <row r="70" spans="1:84" x14ac:dyDescent="0.2">
      <c r="A70" s="214">
        <f ca="1">TblConstr[[#This Row],[Land]]</f>
        <v>50</v>
      </c>
      <c r="B70" s="142"/>
      <c r="C70" s="94">
        <f ca="1">TblProd[[#This Row],[Platinum]]</f>
        <v>181500</v>
      </c>
      <c r="D70" s="94">
        <f ca="1">TblProd[[#This Row],[Lumber]]</f>
        <v>56211</v>
      </c>
      <c r="E70" s="94">
        <f ca="1">TblProd[[#This Row],[Ore]]</f>
        <v>0</v>
      </c>
      <c r="F70" s="94">
        <f ca="1">TblProd[[#This Row],[Gems]]</f>
        <v>0</v>
      </c>
      <c r="G70" s="154"/>
      <c r="H70" s="94">
        <f ca="1">TblMili[[#This Row],[Draftees]]</f>
        <v>528</v>
      </c>
      <c r="I70" s="180">
        <f ca="1">TblPop[[#This Row],[Employment]]</f>
        <v>1</v>
      </c>
      <c r="J70" s="180">
        <f ca="1">TblPop[[#This Row],[Total]]/TblPop[[#This Row],[Net max]]</f>
        <v>1</v>
      </c>
      <c r="K70" s="283">
        <f>TblRezone[[#This Row],[Hour]]</f>
        <v>67</v>
      </c>
      <c r="L70" s="284">
        <f ca="1">TblImps[[#This Row],[Real time]]</f>
        <v>45817.74999999984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45817.74999999984</v>
      </c>
      <c r="BZ70" s="294">
        <f ca="1">OFFSET(TblImps[[#This Row],[Servertime]],-1,0)+1/24</f>
        <v>45817.74999999984</v>
      </c>
      <c r="CA70" s="57"/>
      <c r="CB70" s="292"/>
      <c r="CC70" s="292"/>
    </row>
    <row r="71" spans="1:84" x14ac:dyDescent="0.2">
      <c r="A71" s="214">
        <f ca="1">TblConstr[[#This Row],[Land]]</f>
        <v>50</v>
      </c>
      <c r="B71" s="142"/>
      <c r="C71" s="94">
        <f ca="1">TblProd[[#This Row],[Platinum]]</f>
        <v>182150</v>
      </c>
      <c r="D71" s="94">
        <f ca="1">TblProd[[#This Row],[Lumber]]</f>
        <v>56649</v>
      </c>
      <c r="E71" s="94">
        <f ca="1">TblProd[[#This Row],[Ore]]</f>
        <v>0</v>
      </c>
      <c r="F71" s="94">
        <f ca="1">TblProd[[#This Row],[Gems]]</f>
        <v>0</v>
      </c>
      <c r="G71" s="154"/>
      <c r="H71" s="94">
        <f ca="1">TblMili[[#This Row],[Draftees]]</f>
        <v>530</v>
      </c>
      <c r="I71" s="180">
        <f ca="1">TblPop[[#This Row],[Employment]]</f>
        <v>1</v>
      </c>
      <c r="J71" s="180">
        <f ca="1">TblPop[[#This Row],[Total]]/TblPop[[#This Row],[Net max]]</f>
        <v>1</v>
      </c>
      <c r="K71" s="283">
        <f>TblRezone[[#This Row],[Hour]]</f>
        <v>68</v>
      </c>
      <c r="L71" s="284">
        <f ca="1">TblImps[[#This Row],[Real time]]</f>
        <v>45817.791666666504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45817.791666666504</v>
      </c>
      <c r="BZ71" s="294">
        <f ca="1">OFFSET(TblImps[[#This Row],[Servertime]],-1,0)+1/24</f>
        <v>45817.791666666504</v>
      </c>
      <c r="CA71" s="57"/>
      <c r="CB71" s="292"/>
      <c r="CC71" s="292"/>
    </row>
    <row r="72" spans="1:84" x14ac:dyDescent="0.2">
      <c r="A72" s="214">
        <f ca="1">TblConstr[[#This Row],[Land]]</f>
        <v>50</v>
      </c>
      <c r="B72" s="142"/>
      <c r="C72" s="94">
        <f ca="1">TblProd[[#This Row],[Platinum]]</f>
        <v>182795</v>
      </c>
      <c r="D72" s="94">
        <f ca="1">TblProd[[#This Row],[Lumber]]</f>
        <v>57083</v>
      </c>
      <c r="E72" s="94">
        <f ca="1">TblProd[[#This Row],[Ore]]</f>
        <v>0</v>
      </c>
      <c r="F72" s="94">
        <f ca="1">TblProd[[#This Row],[Gems]]</f>
        <v>0</v>
      </c>
      <c r="G72" s="154"/>
      <c r="H72" s="94">
        <f ca="1">TblMili[[#This Row],[Draftees]]</f>
        <v>532</v>
      </c>
      <c r="I72" s="180">
        <f ca="1">TblPop[[#This Row],[Employment]]</f>
        <v>1</v>
      </c>
      <c r="J72" s="180">
        <f ca="1">TblPop[[#This Row],[Total]]/TblPop[[#This Row],[Net max]]</f>
        <v>1</v>
      </c>
      <c r="K72" s="283">
        <f>TblRezone[[#This Row],[Hour]]</f>
        <v>69</v>
      </c>
      <c r="L72" s="284">
        <f ca="1">TblImps[[#This Row],[Real time]]</f>
        <v>45817.833333333168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45817.833333333168</v>
      </c>
      <c r="BZ72" s="294">
        <f ca="1">OFFSET(TblImps[[#This Row],[Servertime]],-1,0)+1/24</f>
        <v>45817.833333333168</v>
      </c>
      <c r="CA72" s="57"/>
      <c r="CB72" s="292"/>
      <c r="CC72" s="292"/>
    </row>
    <row r="73" spans="1:84" x14ac:dyDescent="0.2">
      <c r="A73" s="214">
        <f ca="1">TblConstr[[#This Row],[Land]]</f>
        <v>50</v>
      </c>
      <c r="B73" s="142"/>
      <c r="C73" s="94">
        <f ca="1">TblProd[[#This Row],[Platinum]]</f>
        <v>183434</v>
      </c>
      <c r="D73" s="94">
        <f ca="1">TblProd[[#This Row],[Lumber]]</f>
        <v>57512</v>
      </c>
      <c r="E73" s="94">
        <f ca="1">TblProd[[#This Row],[Ore]]</f>
        <v>0</v>
      </c>
      <c r="F73" s="94">
        <f ca="1">TblProd[[#This Row],[Gems]]</f>
        <v>0</v>
      </c>
      <c r="G73" s="154"/>
      <c r="H73" s="94">
        <f ca="1">TblMili[[#This Row],[Draftees]]</f>
        <v>534</v>
      </c>
      <c r="I73" s="180">
        <f ca="1">TblPop[[#This Row],[Employment]]</f>
        <v>1</v>
      </c>
      <c r="J73" s="180">
        <f ca="1">TblPop[[#This Row],[Total]]/TblPop[[#This Row],[Net max]]</f>
        <v>1</v>
      </c>
      <c r="K73" s="283">
        <f>TblRezone[[#This Row],[Hour]]</f>
        <v>70</v>
      </c>
      <c r="L73" s="284">
        <f ca="1">TblImps[[#This Row],[Real time]]</f>
        <v>45817.874999999833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45817.874999999833</v>
      </c>
      <c r="BZ73" s="294">
        <f ca="1">OFFSET(TblImps[[#This Row],[Servertime]],-1,0)+1/24</f>
        <v>45817.874999999833</v>
      </c>
      <c r="CA73" s="57"/>
      <c r="CB73" s="292"/>
      <c r="CC73" s="292"/>
    </row>
    <row r="74" spans="1:84" x14ac:dyDescent="0.2">
      <c r="A74" s="214">
        <f ca="1">TblConstr[[#This Row],[Land]]</f>
        <v>50</v>
      </c>
      <c r="B74" s="142"/>
      <c r="C74" s="94">
        <f ca="1">TblProd[[#This Row],[Platinum]]</f>
        <v>184068</v>
      </c>
      <c r="D74" s="94">
        <f ca="1">TblProd[[#This Row],[Lumber]]</f>
        <v>57937</v>
      </c>
      <c r="E74" s="94">
        <f ca="1">TblProd[[#This Row],[Ore]]</f>
        <v>0</v>
      </c>
      <c r="F74" s="94">
        <f ca="1">TblProd[[#This Row],[Gems]]</f>
        <v>0</v>
      </c>
      <c r="G74" s="154"/>
      <c r="H74" s="94">
        <f ca="1">TblMili[[#This Row],[Draftees]]</f>
        <v>536</v>
      </c>
      <c r="I74" s="180">
        <f ca="1">TblPop[[#This Row],[Employment]]</f>
        <v>1</v>
      </c>
      <c r="J74" s="180">
        <f ca="1">TblPop[[#This Row],[Total]]/TblPop[[#This Row],[Net max]]</f>
        <v>1</v>
      </c>
      <c r="K74" s="283">
        <f>TblRezone[[#This Row],[Hour]]</f>
        <v>71</v>
      </c>
      <c r="L74" s="284">
        <f ca="1">TblImps[[#This Row],[Real time]]</f>
        <v>45817.916666666497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45817.916666666497</v>
      </c>
      <c r="BZ74" s="294">
        <f ca="1">OFFSET(TblImps[[#This Row],[Servertime]],-1,0)+1/24</f>
        <v>45817.916666666497</v>
      </c>
      <c r="CA74" s="57"/>
      <c r="CB74" s="292"/>
      <c r="CC74" s="292"/>
    </row>
    <row r="75" spans="1:84" x14ac:dyDescent="0.2">
      <c r="A75" s="214">
        <f ca="1">TblConstr[[#This Row],[Land]]</f>
        <v>50</v>
      </c>
      <c r="B75" s="142"/>
      <c r="C75" s="94">
        <f ca="1">TblProd[[#This Row],[Platinum]]</f>
        <v>184697</v>
      </c>
      <c r="D75" s="94">
        <f ca="1">TblProd[[#This Row],[Lumber]]</f>
        <v>58358</v>
      </c>
      <c r="E75" s="94">
        <f ca="1">TblProd[[#This Row],[Ore]]</f>
        <v>0</v>
      </c>
      <c r="F75" s="94">
        <f ca="1">TblProd[[#This Row],[Gems]]</f>
        <v>0</v>
      </c>
      <c r="G75" s="154"/>
      <c r="H75" s="94">
        <f ca="1">TblMili[[#This Row],[Draftees]]</f>
        <v>538</v>
      </c>
      <c r="I75" s="180">
        <f ca="1">TblPop[[#This Row],[Employment]]</f>
        <v>1</v>
      </c>
      <c r="J75" s="180">
        <f ca="1">TblPop[[#This Row],[Total]]/TblPop[[#This Row],[Net max]]</f>
        <v>1</v>
      </c>
      <c r="K75" s="283">
        <f>TblRezone[[#This Row],[Hour]]</f>
        <v>72</v>
      </c>
      <c r="L75" s="284">
        <f ca="1">TblImps[[#This Row],[Real time]]</f>
        <v>45817.958333333161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45817.958333333161</v>
      </c>
      <c r="BZ75" s="294">
        <f ca="1">OFFSET(TblImps[[#This Row],[Servertime]],-1,0)+1/24</f>
        <v>45817.958333333161</v>
      </c>
      <c r="CA75" s="57"/>
      <c r="CB75" s="292"/>
      <c r="CC75" s="292"/>
    </row>
    <row r="76" spans="1:84" x14ac:dyDescent="0.2">
      <c r="A76" s="214">
        <f ca="1">TblConstr[[#This Row],[Land]]</f>
        <v>50</v>
      </c>
      <c r="B76" s="142"/>
      <c r="C76" s="430">
        <f ca="1">TblProd[[#This Row],[Platinum]]</f>
        <v>185320</v>
      </c>
      <c r="D76" s="430">
        <f ca="1">TblProd[[#This Row],[Lumber]]</f>
        <v>58774</v>
      </c>
      <c r="E76" s="430">
        <f ca="1">TblProd[[#This Row],[Ore]]</f>
        <v>0</v>
      </c>
      <c r="F76" s="430">
        <f ca="1">TblProd[[#This Row],[Gems]]</f>
        <v>0</v>
      </c>
      <c r="G76" s="154"/>
      <c r="H76" s="430">
        <f ca="1">TblMili[[#This Row],[Draftees]]</f>
        <v>540</v>
      </c>
      <c r="I76" s="429">
        <f ca="1">TblPop[[#This Row],[Employment]]</f>
        <v>1</v>
      </c>
      <c r="J76" s="429">
        <f ca="1">TblPop[[#This Row],[Total]]/TblPop[[#This Row],[Net max]]</f>
        <v>1</v>
      </c>
      <c r="K76" s="283">
        <f>TblRezone[[#This Row],[Hour]]</f>
        <v>73</v>
      </c>
      <c r="L76" s="284">
        <f ca="1">TblImps[[#This Row],[Real time]]</f>
        <v>45817.999999999825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9">
        <f ca="1">science_cap*(1-EXP(-TblImps[[#This Row],[Σ Science]]/(science_param*(OFFSET(TblImps[[#This Row],[Land]],1,0)-OFFSET(TblExplore[[#This Row],[Land Bonus]],1,0)*20)+15000)))*(1+(mason_bonus*TblConstr[[#This Row],[Tot Mas]]/TblConstr[[#This Row],[Land (2)]]))</f>
        <v>0</v>
      </c>
      <c r="Z76" s="459">
        <f ca="1">keep_cap*(1-EXP(-TblImps[[#This Row],[Σ Keep]]/(keep_param*(OFFSET(TblImps[[#This Row],[Land]],1,0)-OFFSET(TblExplore[[#This Row],[Land Bonus]],1,0)*20)+15000)))*(1+(mason_bonus*TblConstr[[#This Row],[Tot Mas]]/TblConstr[[#This Row],[Land (2)]]))</f>
        <v>0</v>
      </c>
      <c r="AA76" s="459">
        <f ca="1">harbor_towers_cap*(1-EXP(-TblImps[[#This Row],[Σ Spires]]/(towers_param*(OFFSET(TblImps[[#This Row],[Land]],1,0)-OFFSET(TblExplore[[#This Row],[Land Bonus]],1,0)*20)+15000)))*(1+(mason_bonus*TblConstr[[#This Row],[Tot Mas]]/TblConstr[[#This Row],[Land (2)]]))</f>
        <v>0</v>
      </c>
      <c r="AB76" s="459">
        <f ca="1">walls_forges_cap*(1-EXP(-TblImps[[#This Row],[Σ Forges]]/(walls_forges_param*(OFFSET(TblImps[[#This Row],[Land]],1,0)-OFFSET(TblExplore[[#This Row],[Land Bonus]],1,0)*20)+15000)))*(1+(mason_bonus*TblConstr[[#This Row],[Tot Mas]]/TblConstr[[#This Row],[Land (2)]]))</f>
        <v>0</v>
      </c>
      <c r="AC76" s="459">
        <f ca="1">walls_forges_cap*(1-EXP(-TblImps[[#This Row],[Σ Walls]]/(walls_forges_param*(OFFSET(TblImps[[#This Row],[Land]],1,0)-OFFSET(TblExplore[[#This Row],[Land Bonus]],1,0)*20)+15000)))*(1+(mason_bonus*TblConstr[[#This Row],[Tot Mas]]/TblConstr[[#This Row],[Land (2)]]))</f>
        <v>0</v>
      </c>
      <c r="AD76" s="459">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60">
        <f ca="1">OFFSET(TblImps[[#This Row],[Real time]],-1,0)+1/24</f>
        <v>45817.999999999825</v>
      </c>
      <c r="BZ76" s="461">
        <f ca="1">OFFSET(TblImps[[#This Row],[Servertime]],-1,0)+1/24</f>
        <v>45817.999999999825</v>
      </c>
    </row>
    <row r="77" spans="1:84" x14ac:dyDescent="0.2">
      <c r="A77" s="214">
        <f ca="1">TblConstr[[#This Row],[Land]]</f>
        <v>50</v>
      </c>
      <c r="B77" s="142"/>
      <c r="C77" s="94">
        <f ca="1">TblProd[[#This Row],[Platinum]]</f>
        <v>185938</v>
      </c>
      <c r="D77" s="94">
        <f ca="1">TblProd[[#This Row],[Lumber]]</f>
        <v>59186</v>
      </c>
      <c r="E77" s="94">
        <f ca="1">TblProd[[#This Row],[Ore]]</f>
        <v>0</v>
      </c>
      <c r="F77" s="94">
        <f ca="1">TblProd[[#This Row],[Gems]]</f>
        <v>0</v>
      </c>
      <c r="G77" s="154"/>
      <c r="H77" s="94">
        <f ca="1">TblMili[[#This Row],[Draftees]]</f>
        <v>542</v>
      </c>
      <c r="I77" s="180">
        <f ca="1">TblPop[[#This Row],[Employment]]</f>
        <v>1</v>
      </c>
      <c r="J77" s="180">
        <f ca="1">TblPop[[#This Row],[Total]]/TblPop[[#This Row],[Net max]]</f>
        <v>1</v>
      </c>
      <c r="K77" s="283">
        <f>TblRezone[[#This Row],[Hour]]</f>
        <v>74</v>
      </c>
      <c r="L77" s="284">
        <f ca="1">TblImps[[#This Row],[Real time]]</f>
        <v>45818.04166666649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45818.04166666649</v>
      </c>
      <c r="BZ77" s="294">
        <f ca="1">OFFSET(TblImps[[#This Row],[Servertime]],-1,0)+1/24</f>
        <v>45818.04166666649</v>
      </c>
      <c r="CA77" s="57"/>
      <c r="CB77" s="292"/>
      <c r="CC77" s="292"/>
    </row>
    <row r="78" spans="1:84" x14ac:dyDescent="0.2">
      <c r="A78" s="214">
        <f ca="1">TblConstr[[#This Row],[Land]]</f>
        <v>50</v>
      </c>
      <c r="B78" s="142"/>
      <c r="C78" s="94">
        <f ca="1">TblProd[[#This Row],[Platinum]]</f>
        <v>186550</v>
      </c>
      <c r="D78" s="94">
        <f ca="1">TblProd[[#This Row],[Lumber]]</f>
        <v>59594</v>
      </c>
      <c r="E78" s="94">
        <f ca="1">TblProd[[#This Row],[Ore]]</f>
        <v>0</v>
      </c>
      <c r="F78" s="94">
        <f ca="1">TblProd[[#This Row],[Gems]]</f>
        <v>0</v>
      </c>
      <c r="G78" s="154"/>
      <c r="H78" s="94">
        <f ca="1">TblMili[[#This Row],[Draftees]]</f>
        <v>544</v>
      </c>
      <c r="I78" s="180">
        <f ca="1">TblPop[[#This Row],[Employment]]</f>
        <v>1</v>
      </c>
      <c r="J78" s="180">
        <f ca="1">TblPop[[#This Row],[Total]]/TblPop[[#This Row],[Net max]]</f>
        <v>1</v>
      </c>
      <c r="K78" s="283">
        <f>TblRezone[[#This Row],[Hour]]</f>
        <v>75</v>
      </c>
      <c r="L78" s="284">
        <f ca="1">TblImps[[#This Row],[Real time]]</f>
        <v>45818.083333333154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45818.083333333154</v>
      </c>
      <c r="BZ78" s="294">
        <f ca="1">OFFSET(TblImps[[#This Row],[Servertime]],-1,0)+1/24</f>
        <v>45818.083333333154</v>
      </c>
      <c r="CA78" s="57"/>
      <c r="CB78" s="292"/>
      <c r="CC78" s="292"/>
      <c r="CF78" s="295"/>
    </row>
    <row r="79" spans="1:84" x14ac:dyDescent="0.2">
      <c r="A79" s="214">
        <f ca="1">TblConstr[[#This Row],[Land]]</f>
        <v>50</v>
      </c>
      <c r="B79" s="142"/>
      <c r="C79" s="94">
        <f ca="1">TblProd[[#This Row],[Platinum]]</f>
        <v>187157</v>
      </c>
      <c r="D79" s="94">
        <f ca="1">TblProd[[#This Row],[Lumber]]</f>
        <v>59998</v>
      </c>
      <c r="E79" s="94">
        <f ca="1">TblProd[[#This Row],[Ore]]</f>
        <v>0</v>
      </c>
      <c r="F79" s="94">
        <f ca="1">TblProd[[#This Row],[Gems]]</f>
        <v>0</v>
      </c>
      <c r="G79" s="154"/>
      <c r="H79" s="94">
        <f ca="1">TblMili[[#This Row],[Draftees]]</f>
        <v>546</v>
      </c>
      <c r="I79" s="180">
        <f ca="1">TblPop[[#This Row],[Employment]]</f>
        <v>1</v>
      </c>
      <c r="J79" s="180">
        <f ca="1">TblPop[[#This Row],[Total]]/TblPop[[#This Row],[Net max]]</f>
        <v>1</v>
      </c>
      <c r="K79" s="283">
        <f>TblRezone[[#This Row],[Hour]]</f>
        <v>76</v>
      </c>
      <c r="L79" s="284">
        <f ca="1">TblImps[[#This Row],[Real time]]</f>
        <v>45818.124999999818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45818.124999999818</v>
      </c>
      <c r="BZ79" s="294">
        <f ca="1">OFFSET(TblImps[[#This Row],[Servertime]],-1,0)+1/24</f>
        <v>45818.124999999818</v>
      </c>
      <c r="CA79" s="57"/>
      <c r="CB79" s="292"/>
      <c r="CC79" s="292"/>
      <c r="CF79" s="296"/>
    </row>
    <row r="80" spans="1:84" x14ac:dyDescent="0.2">
      <c r="A80" s="214">
        <f ca="1">TblConstr[[#This Row],[Land]]</f>
        <v>50</v>
      </c>
      <c r="B80" s="142"/>
      <c r="C80" s="94">
        <f ca="1">TblProd[[#This Row],[Platinum]]</f>
        <v>187759</v>
      </c>
      <c r="D80" s="94">
        <f ca="1">TblProd[[#This Row],[Lumber]]</f>
        <v>60398</v>
      </c>
      <c r="E80" s="94">
        <f ca="1">TblProd[[#This Row],[Ore]]</f>
        <v>0</v>
      </c>
      <c r="F80" s="94">
        <f ca="1">TblProd[[#This Row],[Gems]]</f>
        <v>0</v>
      </c>
      <c r="G80" s="154"/>
      <c r="H80" s="94">
        <f ca="1">TblMili[[#This Row],[Draftees]]</f>
        <v>548</v>
      </c>
      <c r="I80" s="180">
        <f ca="1">TblPop[[#This Row],[Employment]]</f>
        <v>1</v>
      </c>
      <c r="J80" s="180">
        <f ca="1">TblPop[[#This Row],[Total]]/TblPop[[#This Row],[Net max]]</f>
        <v>1</v>
      </c>
      <c r="K80" s="283">
        <f>TblRezone[[#This Row],[Hour]]</f>
        <v>77</v>
      </c>
      <c r="L80" s="284">
        <f ca="1">TblImps[[#This Row],[Real time]]</f>
        <v>45818.166666666482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45818.166666666482</v>
      </c>
      <c r="BZ80" s="294">
        <f ca="1">OFFSET(TblImps[[#This Row],[Servertime]],-1,0)+1/24</f>
        <v>45818.166666666482</v>
      </c>
      <c r="CA80" s="57"/>
      <c r="CB80" s="292"/>
      <c r="CC80" s="292"/>
      <c r="CF80" s="295"/>
    </row>
    <row r="81" spans="1:84" x14ac:dyDescent="0.2">
      <c r="A81" s="214">
        <f ca="1">TblConstr[[#This Row],[Land]]</f>
        <v>50</v>
      </c>
      <c r="B81" s="142"/>
      <c r="C81" s="94">
        <f ca="1">TblProd[[#This Row],[Platinum]]</f>
        <v>188355</v>
      </c>
      <c r="D81" s="94">
        <f ca="1">TblProd[[#This Row],[Lumber]]</f>
        <v>60794</v>
      </c>
      <c r="E81" s="94">
        <f ca="1">TblProd[[#This Row],[Ore]]</f>
        <v>0</v>
      </c>
      <c r="F81" s="94">
        <f ca="1">TblProd[[#This Row],[Gems]]</f>
        <v>0</v>
      </c>
      <c r="G81" s="154"/>
      <c r="H81" s="94">
        <f ca="1">TblMili[[#This Row],[Draftees]]</f>
        <v>550</v>
      </c>
      <c r="I81" s="180">
        <f ca="1">TblPop[[#This Row],[Employment]]</f>
        <v>1</v>
      </c>
      <c r="J81" s="180">
        <f ca="1">TblPop[[#This Row],[Total]]/TblPop[[#This Row],[Net max]]</f>
        <v>1</v>
      </c>
      <c r="K81" s="283">
        <f>TblRezone[[#This Row],[Hour]]</f>
        <v>78</v>
      </c>
      <c r="L81" s="284">
        <f ca="1">TblImps[[#This Row],[Real time]]</f>
        <v>45818.208333333147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45818.208333333147</v>
      </c>
      <c r="BZ81" s="294">
        <f ca="1">OFFSET(TblImps[[#This Row],[Servertime]],-1,0)+1/24</f>
        <v>45818.208333333147</v>
      </c>
      <c r="CA81" s="57"/>
      <c r="CB81" s="292"/>
      <c r="CC81" s="292"/>
      <c r="CF81" s="295"/>
    </row>
    <row r="82" spans="1:84" x14ac:dyDescent="0.2">
      <c r="A82" s="214">
        <f ca="1">TblConstr[[#This Row],[Land]]</f>
        <v>50</v>
      </c>
      <c r="B82" s="142"/>
      <c r="C82" s="94">
        <f ca="1">TblProd[[#This Row],[Platinum]]</f>
        <v>188946</v>
      </c>
      <c r="D82" s="94">
        <f ca="1">TblProd[[#This Row],[Lumber]]</f>
        <v>61186</v>
      </c>
      <c r="E82" s="94">
        <f ca="1">TblProd[[#This Row],[Ore]]</f>
        <v>0</v>
      </c>
      <c r="F82" s="94">
        <f ca="1">TblProd[[#This Row],[Gems]]</f>
        <v>0</v>
      </c>
      <c r="G82" s="154"/>
      <c r="H82" s="94">
        <f ca="1">TblMili[[#This Row],[Draftees]]</f>
        <v>552</v>
      </c>
      <c r="I82" s="180">
        <f ca="1">TblPop[[#This Row],[Employment]]</f>
        <v>1</v>
      </c>
      <c r="J82" s="180">
        <f ca="1">TblPop[[#This Row],[Total]]/TblPop[[#This Row],[Net max]]</f>
        <v>1</v>
      </c>
      <c r="K82" s="283">
        <f>TblRezone[[#This Row],[Hour]]</f>
        <v>79</v>
      </c>
      <c r="L82" s="284">
        <f ca="1">TblImps[[#This Row],[Real time]]</f>
        <v>45818.249999999811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45818.249999999811</v>
      </c>
      <c r="BZ82" s="294">
        <f ca="1">OFFSET(TblImps[[#This Row],[Servertime]],-1,0)+1/24</f>
        <v>45818.249999999811</v>
      </c>
      <c r="CA82" s="57"/>
      <c r="CB82" s="292"/>
      <c r="CC82" s="292"/>
    </row>
    <row r="83" spans="1:84" x14ac:dyDescent="0.2">
      <c r="A83" s="214">
        <f ca="1">TblConstr[[#This Row],[Land]]</f>
        <v>50</v>
      </c>
      <c r="B83" s="142"/>
      <c r="C83" s="94">
        <f ca="1">TblProd[[#This Row],[Platinum]]</f>
        <v>189531</v>
      </c>
      <c r="D83" s="94">
        <f ca="1">TblProd[[#This Row],[Lumber]]</f>
        <v>61574</v>
      </c>
      <c r="E83" s="94">
        <f ca="1">TblProd[[#This Row],[Ore]]</f>
        <v>0</v>
      </c>
      <c r="F83" s="94">
        <f ca="1">TblProd[[#This Row],[Gems]]</f>
        <v>0</v>
      </c>
      <c r="G83" s="154"/>
      <c r="H83" s="94">
        <f ca="1">TblMili[[#This Row],[Draftees]]</f>
        <v>554</v>
      </c>
      <c r="I83" s="180">
        <f ca="1">TblPop[[#This Row],[Employment]]</f>
        <v>1</v>
      </c>
      <c r="J83" s="180">
        <f ca="1">TblPop[[#This Row],[Total]]/TblPop[[#This Row],[Net max]]</f>
        <v>1</v>
      </c>
      <c r="K83" s="283">
        <f>TblRezone[[#This Row],[Hour]]</f>
        <v>80</v>
      </c>
      <c r="L83" s="284">
        <f ca="1">TblImps[[#This Row],[Real time]]</f>
        <v>45818.291666666475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45818.291666666475</v>
      </c>
      <c r="BZ83" s="294">
        <f ca="1">OFFSET(TblImps[[#This Row],[Servertime]],-1,0)+1/24</f>
        <v>45818.291666666475</v>
      </c>
      <c r="CA83" s="57"/>
      <c r="CB83" s="292"/>
      <c r="CC83" s="292"/>
    </row>
    <row r="84" spans="1:84" x14ac:dyDescent="0.2">
      <c r="A84" s="214">
        <f ca="1">TblConstr[[#This Row],[Land]]</f>
        <v>50</v>
      </c>
      <c r="B84" s="142"/>
      <c r="C84" s="94">
        <f ca="1">TblProd[[#This Row],[Platinum]]</f>
        <v>190111</v>
      </c>
      <c r="D84" s="94">
        <f ca="1">TblProd[[#This Row],[Lumber]]</f>
        <v>61958</v>
      </c>
      <c r="E84" s="94">
        <f ca="1">TblProd[[#This Row],[Ore]]</f>
        <v>0</v>
      </c>
      <c r="F84" s="94">
        <f ca="1">TblProd[[#This Row],[Gems]]</f>
        <v>0</v>
      </c>
      <c r="G84" s="154"/>
      <c r="H84" s="94">
        <f ca="1">TblMili[[#This Row],[Draftees]]</f>
        <v>556</v>
      </c>
      <c r="I84" s="180">
        <f ca="1">TblPop[[#This Row],[Employment]]</f>
        <v>1</v>
      </c>
      <c r="J84" s="180">
        <f ca="1">TblPop[[#This Row],[Total]]/TblPop[[#This Row],[Net max]]</f>
        <v>1</v>
      </c>
      <c r="K84" s="283">
        <f>TblRezone[[#This Row],[Hour]]</f>
        <v>81</v>
      </c>
      <c r="L84" s="284">
        <f ca="1">TblImps[[#This Row],[Real time]]</f>
        <v>45818.333333333139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45818.333333333139</v>
      </c>
      <c r="BZ84" s="294">
        <f ca="1">OFFSET(TblImps[[#This Row],[Servertime]],-1,0)+1/24</f>
        <v>45818.333333333139</v>
      </c>
      <c r="CA84" s="57"/>
      <c r="CB84" s="292"/>
      <c r="CC84" s="292"/>
    </row>
    <row r="85" spans="1:84" x14ac:dyDescent="0.2">
      <c r="A85" s="214">
        <f ca="1">TblConstr[[#This Row],[Land]]</f>
        <v>50</v>
      </c>
      <c r="B85" s="142"/>
      <c r="C85" s="94">
        <f ca="1">TblProd[[#This Row],[Platinum]]</f>
        <v>190686</v>
      </c>
      <c r="D85" s="94">
        <f ca="1">TblProd[[#This Row],[Lumber]]</f>
        <v>62338</v>
      </c>
      <c r="E85" s="94">
        <f ca="1">TblProd[[#This Row],[Ore]]</f>
        <v>0</v>
      </c>
      <c r="F85" s="94">
        <f ca="1">TblProd[[#This Row],[Gems]]</f>
        <v>0</v>
      </c>
      <c r="G85" s="154"/>
      <c r="H85" s="94">
        <f ca="1">TblMili[[#This Row],[Draftees]]</f>
        <v>558</v>
      </c>
      <c r="I85" s="180">
        <f ca="1">TblPop[[#This Row],[Employment]]</f>
        <v>1</v>
      </c>
      <c r="J85" s="180">
        <f ca="1">TblPop[[#This Row],[Total]]/TblPop[[#This Row],[Net max]]</f>
        <v>1</v>
      </c>
      <c r="K85" s="283">
        <f>TblRezone[[#This Row],[Hour]]</f>
        <v>82</v>
      </c>
      <c r="L85" s="284">
        <f ca="1">TblImps[[#This Row],[Real time]]</f>
        <v>45818.374999999804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45818.374999999804</v>
      </c>
      <c r="BZ85" s="294">
        <f ca="1">OFFSET(TblImps[[#This Row],[Servertime]],-1,0)+1/24</f>
        <v>45818.374999999804</v>
      </c>
      <c r="CA85" s="57"/>
      <c r="CB85" s="292"/>
      <c r="CC85" s="292"/>
    </row>
    <row r="86" spans="1:84" x14ac:dyDescent="0.2">
      <c r="A86" s="214">
        <f ca="1">TblConstr[[#This Row],[Land]]</f>
        <v>50</v>
      </c>
      <c r="B86" s="142"/>
      <c r="C86" s="94">
        <f ca="1">TblProd[[#This Row],[Platinum]]</f>
        <v>191255</v>
      </c>
      <c r="D86" s="94">
        <f ca="1">TblProd[[#This Row],[Lumber]]</f>
        <v>62715</v>
      </c>
      <c r="E86" s="94">
        <f ca="1">TblProd[[#This Row],[Ore]]</f>
        <v>0</v>
      </c>
      <c r="F86" s="94">
        <f ca="1">TblProd[[#This Row],[Gems]]</f>
        <v>0</v>
      </c>
      <c r="G86" s="154"/>
      <c r="H86" s="94">
        <f ca="1">TblMili[[#This Row],[Draftees]]</f>
        <v>560</v>
      </c>
      <c r="I86" s="180">
        <f ca="1">TblPop[[#This Row],[Employment]]</f>
        <v>1</v>
      </c>
      <c r="J86" s="180">
        <f ca="1">TblPop[[#This Row],[Total]]/TblPop[[#This Row],[Net max]]</f>
        <v>1</v>
      </c>
      <c r="K86" s="283">
        <f>TblRezone[[#This Row],[Hour]]</f>
        <v>83</v>
      </c>
      <c r="L86" s="284">
        <f ca="1">TblImps[[#This Row],[Real time]]</f>
        <v>45818.416666666468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45818.416666666468</v>
      </c>
      <c r="BZ86" s="294">
        <f ca="1">OFFSET(TblImps[[#This Row],[Servertime]],-1,0)+1/24</f>
        <v>45818.416666666468</v>
      </c>
      <c r="CA86" s="57"/>
      <c r="CB86" s="292"/>
      <c r="CC86" s="292"/>
    </row>
    <row r="87" spans="1:84" x14ac:dyDescent="0.2">
      <c r="A87" s="214">
        <f ca="1">TblConstr[[#This Row],[Land]]</f>
        <v>50</v>
      </c>
      <c r="B87" s="142"/>
      <c r="C87" s="94">
        <f ca="1">TblProd[[#This Row],[Platinum]]</f>
        <v>191819</v>
      </c>
      <c r="D87" s="94">
        <f ca="1">TblProd[[#This Row],[Lumber]]</f>
        <v>63088</v>
      </c>
      <c r="E87" s="94">
        <f ca="1">TblProd[[#This Row],[Ore]]</f>
        <v>0</v>
      </c>
      <c r="F87" s="94">
        <f ca="1">TblProd[[#This Row],[Gems]]</f>
        <v>0</v>
      </c>
      <c r="G87" s="154"/>
      <c r="H87" s="94">
        <f ca="1">TblMili[[#This Row],[Draftees]]</f>
        <v>562</v>
      </c>
      <c r="I87" s="180">
        <f ca="1">TblPop[[#This Row],[Employment]]</f>
        <v>1</v>
      </c>
      <c r="J87" s="180">
        <f ca="1">TblPop[[#This Row],[Total]]/TblPop[[#This Row],[Net max]]</f>
        <v>1</v>
      </c>
      <c r="K87" s="283">
        <f>TblRezone[[#This Row],[Hour]]</f>
        <v>84</v>
      </c>
      <c r="L87" s="284">
        <f ca="1">TblImps[[#This Row],[Real time]]</f>
        <v>45818.458333333132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45818.458333333132</v>
      </c>
      <c r="BZ87" s="294">
        <f ca="1">OFFSET(TblImps[[#This Row],[Servertime]],-1,0)+1/24</f>
        <v>45818.458333333132</v>
      </c>
      <c r="CA87" s="57"/>
      <c r="CB87" s="292"/>
      <c r="CC87" s="292"/>
    </row>
    <row r="88" spans="1:84" x14ac:dyDescent="0.2">
      <c r="A88" s="214">
        <f ca="1">TblConstr[[#This Row],[Land]]</f>
        <v>50</v>
      </c>
      <c r="B88" s="142"/>
      <c r="C88" s="94">
        <f ca="1">TblProd[[#This Row],[Platinum]]</f>
        <v>192377</v>
      </c>
      <c r="D88" s="94">
        <f ca="1">TblProd[[#This Row],[Lumber]]</f>
        <v>63457</v>
      </c>
      <c r="E88" s="94">
        <f ca="1">TblProd[[#This Row],[Ore]]</f>
        <v>0</v>
      </c>
      <c r="F88" s="94">
        <f ca="1">TblProd[[#This Row],[Gems]]</f>
        <v>0</v>
      </c>
      <c r="G88" s="154"/>
      <c r="H88" s="94">
        <f ca="1">TblMili[[#This Row],[Draftees]]</f>
        <v>564</v>
      </c>
      <c r="I88" s="180">
        <f ca="1">TblPop[[#This Row],[Employment]]</f>
        <v>1</v>
      </c>
      <c r="J88" s="180">
        <f ca="1">TblPop[[#This Row],[Total]]/TblPop[[#This Row],[Net max]]</f>
        <v>1</v>
      </c>
      <c r="K88" s="283">
        <f>TblRezone[[#This Row],[Hour]]</f>
        <v>85</v>
      </c>
      <c r="L88" s="284">
        <f ca="1">TblImps[[#This Row],[Real time]]</f>
        <v>45818.499999999796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45818.499999999796</v>
      </c>
      <c r="BZ88" s="294">
        <f ca="1">OFFSET(TblImps[[#This Row],[Servertime]],-1,0)+1/24</f>
        <v>45818.499999999796</v>
      </c>
      <c r="CA88" s="57"/>
      <c r="CB88" s="292"/>
      <c r="CC88" s="292"/>
    </row>
    <row r="89" spans="1:84" x14ac:dyDescent="0.2">
      <c r="A89" s="214">
        <f ca="1">TblConstr[[#This Row],[Land]]</f>
        <v>50</v>
      </c>
      <c r="B89" s="142"/>
      <c r="C89" s="94">
        <f ca="1">TblProd[[#This Row],[Platinum]]</f>
        <v>192930</v>
      </c>
      <c r="D89" s="94">
        <f ca="1">TblProd[[#This Row],[Lumber]]</f>
        <v>63822</v>
      </c>
      <c r="E89" s="94">
        <f ca="1">TblProd[[#This Row],[Ore]]</f>
        <v>0</v>
      </c>
      <c r="F89" s="94">
        <f ca="1">TblProd[[#This Row],[Gems]]</f>
        <v>0</v>
      </c>
      <c r="G89" s="154"/>
      <c r="H89" s="94">
        <f ca="1">TblMili[[#This Row],[Draftees]]</f>
        <v>566</v>
      </c>
      <c r="I89" s="180">
        <f ca="1">TblPop[[#This Row],[Employment]]</f>
        <v>1</v>
      </c>
      <c r="J89" s="180">
        <f ca="1">TblPop[[#This Row],[Total]]/TblPop[[#This Row],[Net max]]</f>
        <v>1</v>
      </c>
      <c r="K89" s="283">
        <f>TblRezone[[#This Row],[Hour]]</f>
        <v>86</v>
      </c>
      <c r="L89" s="284">
        <f ca="1">TblImps[[#This Row],[Real time]]</f>
        <v>45818.541666666461</v>
      </c>
      <c r="M89" s="61">
        <f>IF(ISERROR(TblImps[[#This Row],[algorithm]]),0,TblImps[[#This Row],[algorithm]]*1)</f>
        <v>0</v>
      </c>
      <c r="N89" s="94">
        <f ca="1">TblImps[[#This Row],[Land]]</f>
        <v>50</v>
      </c>
      <c r="O89" s="285" t="s">
        <v>2</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45818.541666666461</v>
      </c>
      <c r="BZ89" s="294">
        <f ca="1">OFFSET(TblImps[[#This Row],[Servertime]],-1,0)+1/24</f>
        <v>45818.541666666461</v>
      </c>
      <c r="CA89" s="57"/>
      <c r="CB89" s="292"/>
      <c r="CC89" s="292"/>
      <c r="CD89" s="159"/>
    </row>
    <row r="90" spans="1:84" x14ac:dyDescent="0.2">
      <c r="A90" s="214">
        <f ca="1">TblConstr[[#This Row],[Land]]</f>
        <v>50</v>
      </c>
      <c r="B90" s="142"/>
      <c r="C90" s="94">
        <f ca="1">TblProd[[#This Row],[Platinum]]</f>
        <v>193478</v>
      </c>
      <c r="D90" s="94">
        <f ca="1">TblProd[[#This Row],[Lumber]]</f>
        <v>64184</v>
      </c>
      <c r="E90" s="94">
        <f ca="1">TblProd[[#This Row],[Ore]]</f>
        <v>0</v>
      </c>
      <c r="F90" s="94">
        <f ca="1">TblProd[[#This Row],[Gems]]</f>
        <v>0</v>
      </c>
      <c r="G90" s="154"/>
      <c r="H90" s="94">
        <f ca="1">TblMili[[#This Row],[Draftees]]</f>
        <v>568</v>
      </c>
      <c r="I90" s="180">
        <f ca="1">TblPop[[#This Row],[Employment]]</f>
        <v>1</v>
      </c>
      <c r="J90" s="180">
        <f ca="1">TblPop[[#This Row],[Total]]/TblPop[[#This Row],[Net max]]</f>
        <v>1</v>
      </c>
      <c r="K90" s="283">
        <f>TblRezone[[#This Row],[Hour]]</f>
        <v>87</v>
      </c>
      <c r="L90" s="284">
        <f ca="1">TblImps[[#This Row],[Real time]]</f>
        <v>45818.583333333125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45818.583333333125</v>
      </c>
      <c r="BZ90" s="294">
        <f ca="1">OFFSET(TblImps[[#This Row],[Servertime]],-1,0)+1/24</f>
        <v>45818.583333333125</v>
      </c>
      <c r="CA90" s="297"/>
      <c r="CB90" s="292"/>
      <c r="CC90" s="292"/>
      <c r="CF90" s="295"/>
    </row>
    <row r="91" spans="1:84" x14ac:dyDescent="0.2">
      <c r="A91" s="214">
        <f ca="1">TblConstr[[#This Row],[Land]]</f>
        <v>50</v>
      </c>
      <c r="B91" s="142"/>
      <c r="C91" s="94">
        <f ca="1">TblProd[[#This Row],[Platinum]]</f>
        <v>194020</v>
      </c>
      <c r="D91" s="94">
        <f ca="1">TblProd[[#This Row],[Lumber]]</f>
        <v>64542</v>
      </c>
      <c r="E91" s="94">
        <f ca="1">TblProd[[#This Row],[Ore]]</f>
        <v>0</v>
      </c>
      <c r="F91" s="94">
        <f ca="1">TblProd[[#This Row],[Gems]]</f>
        <v>0</v>
      </c>
      <c r="G91" s="154"/>
      <c r="H91" s="94">
        <f ca="1">TblMili[[#This Row],[Draftees]]</f>
        <v>570</v>
      </c>
      <c r="I91" s="180">
        <f ca="1">TblPop[[#This Row],[Employment]]</f>
        <v>1</v>
      </c>
      <c r="J91" s="180">
        <f ca="1">TblPop[[#This Row],[Total]]/TblPop[[#This Row],[Net max]]</f>
        <v>1</v>
      </c>
      <c r="K91" s="283">
        <f>TblRezone[[#This Row],[Hour]]</f>
        <v>88</v>
      </c>
      <c r="L91" s="284">
        <f ca="1">TblImps[[#This Row],[Real time]]</f>
        <v>45818.624999999789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45818.624999999789</v>
      </c>
      <c r="BZ91" s="294">
        <f ca="1">OFFSET(TblImps[[#This Row],[Servertime]],-1,0)+1/24</f>
        <v>45818.624999999789</v>
      </c>
      <c r="CA91" s="57"/>
      <c r="CB91" s="292"/>
      <c r="CC91" s="292"/>
      <c r="CF91" s="296"/>
    </row>
    <row r="92" spans="1:84" x14ac:dyDescent="0.2">
      <c r="A92" s="214">
        <f ca="1">TblConstr[[#This Row],[Land]]</f>
        <v>50</v>
      </c>
      <c r="B92" s="142"/>
      <c r="C92" s="94">
        <f ca="1">TblProd[[#This Row],[Platinum]]</f>
        <v>194557</v>
      </c>
      <c r="D92" s="94">
        <f ca="1">TblProd[[#This Row],[Lumber]]</f>
        <v>64897</v>
      </c>
      <c r="E92" s="94">
        <f ca="1">TblProd[[#This Row],[Ore]]</f>
        <v>0</v>
      </c>
      <c r="F92" s="94">
        <f ca="1">TblProd[[#This Row],[Gems]]</f>
        <v>0</v>
      </c>
      <c r="G92" s="154"/>
      <c r="H92" s="94">
        <f ca="1">TblMili[[#This Row],[Draftees]]</f>
        <v>572</v>
      </c>
      <c r="I92" s="180">
        <f ca="1">TblPop[[#This Row],[Employment]]</f>
        <v>1</v>
      </c>
      <c r="J92" s="180">
        <f ca="1">TblPop[[#This Row],[Total]]/TblPop[[#This Row],[Net max]]</f>
        <v>1</v>
      </c>
      <c r="K92" s="283">
        <f>TblRezone[[#This Row],[Hour]]</f>
        <v>89</v>
      </c>
      <c r="L92" s="284">
        <f ca="1">TblImps[[#This Row],[Real time]]</f>
        <v>45818.666666666453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45818.666666666453</v>
      </c>
      <c r="BZ92" s="294">
        <f ca="1">OFFSET(TblImps[[#This Row],[Servertime]],-1,0)+1/24</f>
        <v>45818.666666666453</v>
      </c>
      <c r="CA92" s="57"/>
      <c r="CB92" s="292"/>
      <c r="CC92" s="292"/>
      <c r="CF92" s="295"/>
    </row>
    <row r="93" spans="1:84" x14ac:dyDescent="0.2">
      <c r="A93" s="214">
        <f ca="1">TblConstr[[#This Row],[Land]]</f>
        <v>50</v>
      </c>
      <c r="B93" s="142"/>
      <c r="C93" s="94">
        <f ca="1">TblProd[[#This Row],[Platinum]]</f>
        <v>195088</v>
      </c>
      <c r="D93" s="94">
        <f ca="1">TblProd[[#This Row],[Lumber]]</f>
        <v>65248</v>
      </c>
      <c r="E93" s="94">
        <f ca="1">TblProd[[#This Row],[Ore]]</f>
        <v>0</v>
      </c>
      <c r="F93" s="94">
        <f ca="1">TblProd[[#This Row],[Gems]]</f>
        <v>0</v>
      </c>
      <c r="G93" s="154"/>
      <c r="H93" s="94">
        <f ca="1">TblMili[[#This Row],[Draftees]]</f>
        <v>574</v>
      </c>
      <c r="I93" s="180">
        <f ca="1">TblPop[[#This Row],[Employment]]</f>
        <v>1</v>
      </c>
      <c r="J93" s="180">
        <f ca="1">TblPop[[#This Row],[Total]]/TblPop[[#This Row],[Net max]]</f>
        <v>1</v>
      </c>
      <c r="K93" s="283">
        <f>TblRezone[[#This Row],[Hour]]</f>
        <v>90</v>
      </c>
      <c r="L93" s="284">
        <f ca="1">TblImps[[#This Row],[Real time]]</f>
        <v>45818.708333333117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45818.708333333117</v>
      </c>
      <c r="BZ93" s="294">
        <f ca="1">OFFSET(TblImps[[#This Row],[Servertime]],-1,0)+1/24</f>
        <v>45818.708333333117</v>
      </c>
      <c r="CA93" s="57"/>
      <c r="CB93" s="292"/>
      <c r="CC93" s="292"/>
      <c r="CF93" s="295"/>
    </row>
    <row r="94" spans="1:84" x14ac:dyDescent="0.2">
      <c r="A94" s="214">
        <f ca="1">TblConstr[[#This Row],[Land]]</f>
        <v>50</v>
      </c>
      <c r="B94" s="142"/>
      <c r="C94" s="94">
        <f ca="1">TblProd[[#This Row],[Platinum]]</f>
        <v>195614</v>
      </c>
      <c r="D94" s="94">
        <f ca="1">TblProd[[#This Row],[Lumber]]</f>
        <v>65596</v>
      </c>
      <c r="E94" s="94">
        <f ca="1">TblProd[[#This Row],[Ore]]</f>
        <v>0</v>
      </c>
      <c r="F94" s="94">
        <f ca="1">TblProd[[#This Row],[Gems]]</f>
        <v>0</v>
      </c>
      <c r="G94" s="154"/>
      <c r="H94" s="94">
        <f ca="1">TblMili[[#This Row],[Draftees]]</f>
        <v>576</v>
      </c>
      <c r="I94" s="180">
        <f ca="1">TblPop[[#This Row],[Employment]]</f>
        <v>1</v>
      </c>
      <c r="J94" s="180">
        <f ca="1">TblPop[[#This Row],[Total]]/TblPop[[#This Row],[Net max]]</f>
        <v>1</v>
      </c>
      <c r="K94" s="283">
        <f>TblRezone[[#This Row],[Hour]]</f>
        <v>91</v>
      </c>
      <c r="L94" s="284">
        <f ca="1">TblImps[[#This Row],[Real time]]</f>
        <v>45818.749999999782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45818.749999999782</v>
      </c>
      <c r="BZ94" s="294">
        <f ca="1">OFFSET(TblImps[[#This Row],[Servertime]],-1,0)+1/24</f>
        <v>45818.749999999782</v>
      </c>
      <c r="CA94" s="57"/>
      <c r="CB94" s="292"/>
      <c r="CC94" s="292"/>
    </row>
    <row r="95" spans="1:84" x14ac:dyDescent="0.2">
      <c r="A95" s="214">
        <f ca="1">TblConstr[[#This Row],[Land]]</f>
        <v>50</v>
      </c>
      <c r="B95" s="142"/>
      <c r="C95" s="94">
        <f ca="1">TblProd[[#This Row],[Platinum]]</f>
        <v>196135</v>
      </c>
      <c r="D95" s="94">
        <f ca="1">TblProd[[#This Row],[Lumber]]</f>
        <v>65940</v>
      </c>
      <c r="E95" s="94">
        <f ca="1">TblProd[[#This Row],[Ore]]</f>
        <v>0</v>
      </c>
      <c r="F95" s="94">
        <f ca="1">TblProd[[#This Row],[Gems]]</f>
        <v>0</v>
      </c>
      <c r="G95" s="154"/>
      <c r="H95" s="94">
        <f ca="1">TblMili[[#This Row],[Draftees]]</f>
        <v>578</v>
      </c>
      <c r="I95" s="180">
        <f ca="1">TblPop[[#This Row],[Employment]]</f>
        <v>1</v>
      </c>
      <c r="J95" s="180">
        <f ca="1">TblPop[[#This Row],[Total]]/TblPop[[#This Row],[Net max]]</f>
        <v>1</v>
      </c>
      <c r="K95" s="283">
        <f>TblRezone[[#This Row],[Hour]]</f>
        <v>92</v>
      </c>
      <c r="L95" s="284">
        <f ca="1">TblImps[[#This Row],[Real time]]</f>
        <v>45818.791666666446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45818.791666666446</v>
      </c>
      <c r="BZ95" s="294">
        <f ca="1">OFFSET(TblImps[[#This Row],[Servertime]],-1,0)+1/24</f>
        <v>45818.791666666446</v>
      </c>
      <c r="CA95" s="57"/>
      <c r="CB95" s="292"/>
      <c r="CC95" s="292"/>
    </row>
    <row r="96" spans="1:84" x14ac:dyDescent="0.2">
      <c r="A96" s="214">
        <f ca="1">TblConstr[[#This Row],[Land]]</f>
        <v>50</v>
      </c>
      <c r="B96" s="142"/>
      <c r="C96" s="94">
        <f ca="1">TblProd[[#This Row],[Platinum]]</f>
        <v>196650</v>
      </c>
      <c r="D96" s="94">
        <f ca="1">TblProd[[#This Row],[Lumber]]</f>
        <v>66281</v>
      </c>
      <c r="E96" s="94">
        <f ca="1">TblProd[[#This Row],[Ore]]</f>
        <v>0</v>
      </c>
      <c r="F96" s="94">
        <f ca="1">TblProd[[#This Row],[Gems]]</f>
        <v>0</v>
      </c>
      <c r="G96" s="154"/>
      <c r="H96" s="94">
        <f ca="1">TblMili[[#This Row],[Draftees]]</f>
        <v>580</v>
      </c>
      <c r="I96" s="180">
        <f ca="1">TblPop[[#This Row],[Employment]]</f>
        <v>1</v>
      </c>
      <c r="J96" s="180">
        <f ca="1">TblPop[[#This Row],[Total]]/TblPop[[#This Row],[Net max]]</f>
        <v>1</v>
      </c>
      <c r="K96" s="283">
        <f>TblRezone[[#This Row],[Hour]]</f>
        <v>93</v>
      </c>
      <c r="L96" s="284">
        <f ca="1">TblImps[[#This Row],[Real time]]</f>
        <v>45818.83333333311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45818.83333333311</v>
      </c>
      <c r="BZ96" s="294">
        <f ca="1">OFFSET(TblImps[[#This Row],[Servertime]],-1,0)+1/24</f>
        <v>45818.83333333311</v>
      </c>
      <c r="CA96" s="57"/>
      <c r="CB96" s="292"/>
      <c r="CC96" s="292"/>
    </row>
    <row r="97" spans="1:82" x14ac:dyDescent="0.2">
      <c r="A97" s="214">
        <f ca="1">TblConstr[[#This Row],[Land]]</f>
        <v>50</v>
      </c>
      <c r="B97" s="142"/>
      <c r="C97" s="94">
        <f ca="1">TblProd[[#This Row],[Platinum]]</f>
        <v>197160</v>
      </c>
      <c r="D97" s="94">
        <f ca="1">TblProd[[#This Row],[Lumber]]</f>
        <v>66618</v>
      </c>
      <c r="E97" s="94">
        <f ca="1">TblProd[[#This Row],[Ore]]</f>
        <v>0</v>
      </c>
      <c r="F97" s="94">
        <f ca="1">TblProd[[#This Row],[Gems]]</f>
        <v>0</v>
      </c>
      <c r="G97" s="154"/>
      <c r="H97" s="94">
        <f ca="1">TblMili[[#This Row],[Draftees]]</f>
        <v>582</v>
      </c>
      <c r="I97" s="180">
        <f ca="1">TblPop[[#This Row],[Employment]]</f>
        <v>1</v>
      </c>
      <c r="J97" s="180">
        <f ca="1">TblPop[[#This Row],[Total]]/TblPop[[#This Row],[Net max]]</f>
        <v>1</v>
      </c>
      <c r="K97" s="283">
        <f>TblRezone[[#This Row],[Hour]]</f>
        <v>94</v>
      </c>
      <c r="L97" s="284">
        <f ca="1">TblImps[[#This Row],[Real time]]</f>
        <v>45818.874999999774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45818.874999999774</v>
      </c>
      <c r="BZ97" s="294">
        <f ca="1">OFFSET(TblImps[[#This Row],[Servertime]],-1,0)+1/24</f>
        <v>45818.874999999774</v>
      </c>
      <c r="CA97" s="57"/>
      <c r="CB97" s="292"/>
      <c r="CC97" s="292"/>
    </row>
    <row r="98" spans="1:82" x14ac:dyDescent="0.2">
      <c r="A98" s="214">
        <f ca="1">TblConstr[[#This Row],[Land]]</f>
        <v>50</v>
      </c>
      <c r="B98" s="142"/>
      <c r="C98" s="94">
        <f ca="1">TblProd[[#This Row],[Platinum]]</f>
        <v>197664</v>
      </c>
      <c r="D98" s="94">
        <f ca="1">TblProd[[#This Row],[Lumber]]</f>
        <v>66952</v>
      </c>
      <c r="E98" s="94">
        <f ca="1">TblProd[[#This Row],[Ore]]</f>
        <v>0</v>
      </c>
      <c r="F98" s="94">
        <f ca="1">TblProd[[#This Row],[Gems]]</f>
        <v>0</v>
      </c>
      <c r="G98" s="154"/>
      <c r="H98" s="94">
        <f ca="1">TblMili[[#This Row],[Draftees]]</f>
        <v>584</v>
      </c>
      <c r="I98" s="180">
        <f ca="1">TblPop[[#This Row],[Employment]]</f>
        <v>1</v>
      </c>
      <c r="J98" s="180">
        <f ca="1">TblPop[[#This Row],[Total]]/TblPop[[#This Row],[Net max]]</f>
        <v>1</v>
      </c>
      <c r="K98" s="283">
        <f>TblRezone[[#This Row],[Hour]]</f>
        <v>95</v>
      </c>
      <c r="L98" s="284">
        <f ca="1">TblImps[[#This Row],[Real time]]</f>
        <v>45818.916666666439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45818.916666666439</v>
      </c>
      <c r="BZ98" s="294">
        <f ca="1">OFFSET(TblImps[[#This Row],[Servertime]],-1,0)+1/24</f>
        <v>45818.916666666439</v>
      </c>
      <c r="CA98" s="57"/>
      <c r="CB98" s="292"/>
      <c r="CC98" s="292"/>
    </row>
    <row r="99" spans="1:82" x14ac:dyDescent="0.2">
      <c r="A99" s="214">
        <f ca="1">TblConstr[[#This Row],[Land]]</f>
        <v>50</v>
      </c>
      <c r="B99" s="142"/>
      <c r="C99" s="94">
        <f ca="1">TblProd[[#This Row],[Platinum]]</f>
        <v>198163</v>
      </c>
      <c r="D99" s="94">
        <f ca="1">TblProd[[#This Row],[Lumber]]</f>
        <v>67282</v>
      </c>
      <c r="E99" s="94">
        <f ca="1">TblProd[[#This Row],[Ore]]</f>
        <v>0</v>
      </c>
      <c r="F99" s="94">
        <f ca="1">TblProd[[#This Row],[Gems]]</f>
        <v>0</v>
      </c>
      <c r="G99" s="154"/>
      <c r="H99" s="94">
        <f ca="1">TblMili[[#This Row],[Draftees]]</f>
        <v>586</v>
      </c>
      <c r="I99" s="180">
        <f ca="1">TblPop[[#This Row],[Employment]]</f>
        <v>1</v>
      </c>
      <c r="J99" s="180">
        <f ca="1">TblPop[[#This Row],[Total]]/TblPop[[#This Row],[Net max]]</f>
        <v>1</v>
      </c>
      <c r="K99" s="283">
        <f>TblRezone[[#This Row],[Hour]]</f>
        <v>96</v>
      </c>
      <c r="L99" s="284">
        <f ca="1">TblImps[[#This Row],[Real time]]</f>
        <v>45818.958333333103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45818.958333333103</v>
      </c>
      <c r="BZ99" s="294">
        <f ca="1">OFFSET(TblImps[[#This Row],[Servertime]],-1,0)+1/24</f>
        <v>45818.958333333103</v>
      </c>
      <c r="CA99" s="57"/>
      <c r="CB99" s="292"/>
      <c r="CC99" s="292"/>
    </row>
    <row r="100" spans="1:82" x14ac:dyDescent="0.2">
      <c r="A100" s="214">
        <f ca="1">TblConstr[[#This Row],[Land]]</f>
        <v>50</v>
      </c>
      <c r="B100" s="142"/>
      <c r="C100" s="94">
        <f ca="1">TblProd[[#This Row],[Platinum]]</f>
        <v>198657</v>
      </c>
      <c r="D100" s="94">
        <f ca="1">TblProd[[#This Row],[Lumber]]</f>
        <v>67609</v>
      </c>
      <c r="E100" s="94">
        <f ca="1">TblProd[[#This Row],[Ore]]</f>
        <v>0</v>
      </c>
      <c r="F100" s="94">
        <f ca="1">TblProd[[#This Row],[Gems]]</f>
        <v>0</v>
      </c>
      <c r="G100" s="154"/>
      <c r="H100" s="94">
        <f ca="1">TblMili[[#This Row],[Draftees]]</f>
        <v>588</v>
      </c>
      <c r="I100" s="180">
        <f ca="1">TblPop[[#This Row],[Employment]]</f>
        <v>1</v>
      </c>
      <c r="J100" s="180">
        <f ca="1">TblPop[[#This Row],[Total]]/TblPop[[#This Row],[Net max]]</f>
        <v>1</v>
      </c>
      <c r="K100" s="283">
        <f>TblRezone[[#This Row],[Hour]]</f>
        <v>97</v>
      </c>
      <c r="L100" s="284">
        <f ca="1">TblImps[[#This Row],[Real time]]</f>
        <v>45818.999999999767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45818.999999999767</v>
      </c>
      <c r="BZ100" s="294">
        <f ca="1">OFFSET(TblImps[[#This Row],[Servertime]],-1,0)+1/24</f>
        <v>45818.999999999767</v>
      </c>
      <c r="CA100" s="57"/>
      <c r="CB100" s="292"/>
      <c r="CC100" s="292"/>
    </row>
    <row r="101" spans="1:82" x14ac:dyDescent="0.2">
      <c r="A101" s="214">
        <f ca="1">TblConstr[[#This Row],[Land]]</f>
        <v>50</v>
      </c>
      <c r="B101" s="142"/>
      <c r="C101" s="94">
        <f ca="1">TblProd[[#This Row],[Platinum]]</f>
        <v>199145</v>
      </c>
      <c r="D101" s="94">
        <f ca="1">TblProd[[#This Row],[Lumber]]</f>
        <v>67933</v>
      </c>
      <c r="E101" s="94">
        <f ca="1">TblProd[[#This Row],[Ore]]</f>
        <v>0</v>
      </c>
      <c r="F101" s="94">
        <f ca="1">TblProd[[#This Row],[Gems]]</f>
        <v>0</v>
      </c>
      <c r="G101" s="154"/>
      <c r="H101" s="94">
        <f ca="1">TblMili[[#This Row],[Draftees]]</f>
        <v>590</v>
      </c>
      <c r="I101" s="180">
        <f ca="1">TblPop[[#This Row],[Employment]]</f>
        <v>1</v>
      </c>
      <c r="J101" s="180">
        <f ca="1">TblPop[[#This Row],[Total]]/TblPop[[#This Row],[Net max]]</f>
        <v>1</v>
      </c>
      <c r="K101" s="283">
        <f>TblRezone[[#This Row],[Hour]]</f>
        <v>98</v>
      </c>
      <c r="L101" s="284">
        <f ca="1">TblImps[[#This Row],[Real time]]</f>
        <v>45819.041666666431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45819.041666666431</v>
      </c>
      <c r="BZ101" s="294">
        <f ca="1">OFFSET(TblImps[[#This Row],[Servertime]],-1,0)+1/24</f>
        <v>45819.041666666431</v>
      </c>
      <c r="CA101" s="57"/>
      <c r="CB101" s="292"/>
      <c r="CC101" s="292"/>
    </row>
    <row r="102" spans="1:82" x14ac:dyDescent="0.2">
      <c r="A102" s="214">
        <f ca="1">TblConstr[[#This Row],[Land]]</f>
        <v>50</v>
      </c>
      <c r="B102" s="142"/>
      <c r="C102" s="94">
        <f ca="1">TblProd[[#This Row],[Platinum]]</f>
        <v>199628</v>
      </c>
      <c r="D102" s="94">
        <f ca="1">TblProd[[#This Row],[Lumber]]</f>
        <v>68254</v>
      </c>
      <c r="E102" s="94">
        <f ca="1">TblProd[[#This Row],[Ore]]</f>
        <v>0</v>
      </c>
      <c r="F102" s="94">
        <f ca="1">TblProd[[#This Row],[Gems]]</f>
        <v>0</v>
      </c>
      <c r="G102" s="154"/>
      <c r="H102" s="94">
        <f ca="1">TblMili[[#This Row],[Draftees]]</f>
        <v>592</v>
      </c>
      <c r="I102" s="180">
        <f ca="1">TblPop[[#This Row],[Employment]]</f>
        <v>1</v>
      </c>
      <c r="J102" s="180">
        <f ca="1">TblPop[[#This Row],[Total]]/TblPop[[#This Row],[Net max]]</f>
        <v>1</v>
      </c>
      <c r="K102" s="283">
        <f>TblRezone[[#This Row],[Hour]]</f>
        <v>99</v>
      </c>
      <c r="L102" s="284">
        <f ca="1">TblImps[[#This Row],[Real time]]</f>
        <v>45819.083333333096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45819.083333333096</v>
      </c>
      <c r="BZ102" s="294">
        <f ca="1">OFFSET(TblImps[[#This Row],[Servertime]],-1,0)+1/24</f>
        <v>45819.083333333096</v>
      </c>
      <c r="CA102" s="57"/>
      <c r="CB102" s="292"/>
      <c r="CC102" s="292"/>
      <c r="CD102" s="45" t="s">
        <v>4</v>
      </c>
    </row>
    <row r="103" spans="1:82" x14ac:dyDescent="0.2">
      <c r="A103" s="214">
        <f ca="1">TblConstr[[#This Row],[Land]]</f>
        <v>50</v>
      </c>
      <c r="B103" s="142"/>
      <c r="C103" s="94">
        <f ca="1">TblProd[[#This Row],[Platinum]]</f>
        <v>200105</v>
      </c>
      <c r="D103" s="94">
        <f ca="1">TblProd[[#This Row],[Lumber]]</f>
        <v>68571</v>
      </c>
      <c r="E103" s="94">
        <f ca="1">TblProd[[#This Row],[Ore]]</f>
        <v>0</v>
      </c>
      <c r="F103" s="94">
        <f ca="1">TblProd[[#This Row],[Gems]]</f>
        <v>0</v>
      </c>
      <c r="G103" s="154"/>
      <c r="H103" s="94">
        <f ca="1">TblMili[[#This Row],[Draftees]]</f>
        <v>594</v>
      </c>
      <c r="I103" s="180">
        <f ca="1">TblPop[[#This Row],[Employment]]</f>
        <v>1</v>
      </c>
      <c r="J103" s="180">
        <f ca="1">TblPop[[#This Row],[Total]]/TblPop[[#This Row],[Net max]]</f>
        <v>1</v>
      </c>
      <c r="K103" s="283">
        <f>TblRezone[[#This Row],[Hour]]</f>
        <v>100</v>
      </c>
      <c r="L103" s="284">
        <f ca="1">TblImps[[#This Row],[Real time]]</f>
        <v>45819.12499999976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45819.12499999976</v>
      </c>
      <c r="BZ103" s="294">
        <f ca="1">OFFSET(TblImps[[#This Row],[Servertime]],-1,0)+1/24</f>
        <v>45819.12499999976</v>
      </c>
      <c r="CA103" s="57"/>
      <c r="CB103" s="292"/>
      <c r="CC103" s="292"/>
      <c r="CD103" s="45" t="s">
        <v>7</v>
      </c>
    </row>
    <row r="104" spans="1:82" x14ac:dyDescent="0.2">
      <c r="A104" s="214">
        <f ca="1">TblConstr[[#This Row],[Land]]</f>
        <v>50</v>
      </c>
      <c r="B104" s="142"/>
      <c r="C104" s="94">
        <f ca="1">TblProd[[#This Row],[Platinum]]</f>
        <v>200577</v>
      </c>
      <c r="D104" s="94">
        <f ca="1">TblProd[[#This Row],[Lumber]]</f>
        <v>68885</v>
      </c>
      <c r="E104" s="94">
        <f ca="1">TblProd[[#This Row],[Ore]]</f>
        <v>0</v>
      </c>
      <c r="F104" s="94">
        <f ca="1">TblProd[[#This Row],[Gems]]</f>
        <v>0</v>
      </c>
      <c r="G104" s="154"/>
      <c r="H104" s="94">
        <f ca="1">TblMili[[#This Row],[Draftees]]</f>
        <v>596</v>
      </c>
      <c r="I104" s="180">
        <f ca="1">TblPop[[#This Row],[Employment]]</f>
        <v>1</v>
      </c>
      <c r="J104" s="180">
        <f ca="1">TblPop[[#This Row],[Total]]/TblPop[[#This Row],[Net max]]</f>
        <v>1</v>
      </c>
      <c r="K104" s="283">
        <f>TblRezone[[#This Row],[Hour]]</f>
        <v>101</v>
      </c>
      <c r="L104" s="284">
        <f ca="1">TblImps[[#This Row],[Real time]]</f>
        <v>45819.166666666424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45819.166666666424</v>
      </c>
      <c r="BZ104" s="294">
        <f ca="1">OFFSET(TblImps[[#This Row],[Servertime]],-1,0)+1/24</f>
        <v>45819.166666666424</v>
      </c>
      <c r="CA104" s="57"/>
      <c r="CB104" s="292"/>
      <c r="CC104" s="292"/>
      <c r="CD104" s="45" t="s">
        <v>3</v>
      </c>
    </row>
    <row r="105" spans="1:82" x14ac:dyDescent="0.2">
      <c r="A105" s="214">
        <f ca="1">TblConstr[[#This Row],[Land]]</f>
        <v>50</v>
      </c>
      <c r="B105" s="142"/>
      <c r="C105" s="94">
        <f ca="1">TblProd[[#This Row],[Platinum]]</f>
        <v>201044</v>
      </c>
      <c r="D105" s="94">
        <f ca="1">TblProd[[#This Row],[Lumber]]</f>
        <v>69196</v>
      </c>
      <c r="E105" s="94">
        <f ca="1">TblProd[[#This Row],[Ore]]</f>
        <v>0</v>
      </c>
      <c r="F105" s="94">
        <f ca="1">TblProd[[#This Row],[Gems]]</f>
        <v>0</v>
      </c>
      <c r="G105" s="154"/>
      <c r="H105" s="94">
        <f ca="1">TblMili[[#This Row],[Draftees]]</f>
        <v>598</v>
      </c>
      <c r="I105" s="180">
        <f ca="1">TblPop[[#This Row],[Employment]]</f>
        <v>1</v>
      </c>
      <c r="J105" s="180">
        <f ca="1">TblPop[[#This Row],[Total]]/TblPop[[#This Row],[Net max]]</f>
        <v>1</v>
      </c>
      <c r="K105" s="283">
        <f>TblRezone[[#This Row],[Hour]]</f>
        <v>102</v>
      </c>
      <c r="L105" s="284">
        <f ca="1">TblImps[[#This Row],[Real time]]</f>
        <v>45819.208333333088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45819.208333333088</v>
      </c>
      <c r="BZ105" s="294">
        <f ca="1">OFFSET(TblImps[[#This Row],[Servertime]],-1,0)+1/24</f>
        <v>45819.208333333088</v>
      </c>
      <c r="CA105" s="57"/>
      <c r="CB105" s="292"/>
      <c r="CC105" s="292"/>
      <c r="CD105" s="45" t="s">
        <v>2</v>
      </c>
    </row>
    <row r="106" spans="1:82" x14ac:dyDescent="0.2">
      <c r="A106" s="214">
        <f ca="1">TblConstr[[#This Row],[Land]]</f>
        <v>50</v>
      </c>
      <c r="B106" s="142"/>
      <c r="C106" s="94">
        <f ca="1">TblProd[[#This Row],[Platinum]]</f>
        <v>201505</v>
      </c>
      <c r="D106" s="94">
        <f ca="1">TblProd[[#This Row],[Lumber]]</f>
        <v>69504</v>
      </c>
      <c r="E106" s="94">
        <f ca="1">TblProd[[#This Row],[Ore]]</f>
        <v>0</v>
      </c>
      <c r="F106" s="94">
        <f ca="1">TblProd[[#This Row],[Gems]]</f>
        <v>0</v>
      </c>
      <c r="G106" s="154"/>
      <c r="H106" s="94">
        <f ca="1">TblMili[[#This Row],[Draftees]]</f>
        <v>600</v>
      </c>
      <c r="I106" s="180">
        <f ca="1">TblPop[[#This Row],[Employment]]</f>
        <v>1</v>
      </c>
      <c r="J106" s="180">
        <f ca="1">TblPop[[#This Row],[Total]]/TblPop[[#This Row],[Net max]]</f>
        <v>1</v>
      </c>
      <c r="K106" s="283">
        <f>TblRezone[[#This Row],[Hour]]</f>
        <v>103</v>
      </c>
      <c r="L106" s="284">
        <f ca="1">TblImps[[#This Row],[Real time]]</f>
        <v>45819.249999999753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45819.249999999753</v>
      </c>
      <c r="BZ106" s="294">
        <f ca="1">OFFSET(TblImps[[#This Row],[Servertime]],-1,0)+1/24</f>
        <v>45819.249999999753</v>
      </c>
      <c r="CA106" s="57"/>
      <c r="CB106" s="292"/>
      <c r="CC106" s="292"/>
    </row>
    <row r="107" spans="1:82" x14ac:dyDescent="0.2">
      <c r="A107" s="214">
        <f ca="1">TblConstr[[#This Row],[Land]]</f>
        <v>50</v>
      </c>
      <c r="B107" s="142"/>
      <c r="C107" s="94">
        <f ca="1">TblProd[[#This Row],[Platinum]]</f>
        <v>201961</v>
      </c>
      <c r="D107" s="94">
        <f ca="1">TblProd[[#This Row],[Lumber]]</f>
        <v>69809</v>
      </c>
      <c r="E107" s="94">
        <f ca="1">TblProd[[#This Row],[Ore]]</f>
        <v>0</v>
      </c>
      <c r="F107" s="94">
        <f ca="1">TblProd[[#This Row],[Gems]]</f>
        <v>0</v>
      </c>
      <c r="G107" s="154"/>
      <c r="H107" s="94">
        <f ca="1">TblMili[[#This Row],[Draftees]]</f>
        <v>602</v>
      </c>
      <c r="I107" s="180">
        <f ca="1">TblPop[[#This Row],[Employment]]</f>
        <v>1</v>
      </c>
      <c r="J107" s="180">
        <f ca="1">TblPop[[#This Row],[Total]]/TblPop[[#This Row],[Net max]]</f>
        <v>1</v>
      </c>
      <c r="K107" s="283">
        <f>TblRezone[[#This Row],[Hour]]</f>
        <v>104</v>
      </c>
      <c r="L107" s="284">
        <f ca="1">TblImps[[#This Row],[Real time]]</f>
        <v>45819.291666666417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45819.291666666417</v>
      </c>
      <c r="BZ107" s="294">
        <f ca="1">OFFSET(TblImps[[#This Row],[Servertime]],-1,0)+1/24</f>
        <v>45819.291666666417</v>
      </c>
      <c r="CA107" s="57"/>
      <c r="CB107" s="292"/>
      <c r="CC107" s="292"/>
      <c r="CD107" s="45" t="s">
        <v>208</v>
      </c>
    </row>
    <row r="108" spans="1:82" x14ac:dyDescent="0.2">
      <c r="A108" s="214">
        <f ca="1">TblConstr[[#This Row],[Land]]</f>
        <v>50</v>
      </c>
      <c r="B108" s="142"/>
      <c r="C108" s="94">
        <f ca="1">TblProd[[#This Row],[Platinum]]</f>
        <v>202411</v>
      </c>
      <c r="D108" s="94">
        <f ca="1">TblProd[[#This Row],[Lumber]]</f>
        <v>70111</v>
      </c>
      <c r="E108" s="94">
        <f ca="1">TblProd[[#This Row],[Ore]]</f>
        <v>0</v>
      </c>
      <c r="F108" s="94">
        <f ca="1">TblProd[[#This Row],[Gems]]</f>
        <v>0</v>
      </c>
      <c r="G108" s="154"/>
      <c r="H108" s="94">
        <f ca="1">TblMili[[#This Row],[Draftees]]</f>
        <v>604</v>
      </c>
      <c r="I108" s="180">
        <f ca="1">TblPop[[#This Row],[Employment]]</f>
        <v>1</v>
      </c>
      <c r="J108" s="180">
        <f ca="1">TblPop[[#This Row],[Total]]/TblPop[[#This Row],[Net max]]</f>
        <v>1</v>
      </c>
      <c r="K108" s="283">
        <f>TblRezone[[#This Row],[Hour]]</f>
        <v>105</v>
      </c>
      <c r="L108" s="284">
        <f ca="1">TblImps[[#This Row],[Real time]]</f>
        <v>45819.333333333081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45819.333333333081</v>
      </c>
      <c r="BZ108" s="294">
        <f ca="1">OFFSET(TblImps[[#This Row],[Servertime]],-1,0)+1/24</f>
        <v>45819.333333333081</v>
      </c>
      <c r="CA108" s="57"/>
      <c r="CB108" s="292"/>
      <c r="CC108" s="292"/>
      <c r="CD108" s="45" t="s">
        <v>210</v>
      </c>
    </row>
    <row r="109" spans="1:82" x14ac:dyDescent="0.2">
      <c r="A109" s="214">
        <f ca="1">TblConstr[[#This Row],[Land]]</f>
        <v>50</v>
      </c>
      <c r="B109" s="142"/>
      <c r="C109" s="94">
        <f ca="1">TblProd[[#This Row],[Platinum]]</f>
        <v>202856</v>
      </c>
      <c r="D109" s="94">
        <f ca="1">TblProd[[#This Row],[Lumber]]</f>
        <v>70410</v>
      </c>
      <c r="E109" s="94">
        <f ca="1">TblProd[[#This Row],[Ore]]</f>
        <v>0</v>
      </c>
      <c r="F109" s="94">
        <f ca="1">TblProd[[#This Row],[Gems]]</f>
        <v>0</v>
      </c>
      <c r="G109" s="154"/>
      <c r="H109" s="94">
        <f ca="1">TblMili[[#This Row],[Draftees]]</f>
        <v>606</v>
      </c>
      <c r="I109" s="180">
        <f ca="1">TblPop[[#This Row],[Employment]]</f>
        <v>1</v>
      </c>
      <c r="J109" s="180">
        <f ca="1">TblPop[[#This Row],[Total]]/TblPop[[#This Row],[Net max]]</f>
        <v>1</v>
      </c>
      <c r="K109" s="283">
        <f>TblRezone[[#This Row],[Hour]]</f>
        <v>106</v>
      </c>
      <c r="L109" s="284">
        <f ca="1">TblImps[[#This Row],[Real time]]</f>
        <v>45819.374999999745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45819.374999999745</v>
      </c>
      <c r="BZ109" s="294">
        <f ca="1">OFFSET(TblImps[[#This Row],[Servertime]],-1,0)+1/24</f>
        <v>45819.374999999745</v>
      </c>
      <c r="CA109" s="57"/>
      <c r="CB109" s="292"/>
      <c r="CC109" s="292"/>
      <c r="CD109" s="45" t="s">
        <v>211</v>
      </c>
    </row>
    <row r="110" spans="1:82" x14ac:dyDescent="0.2">
      <c r="A110" s="214">
        <f ca="1">TblConstr[[#This Row],[Land]]</f>
        <v>50</v>
      </c>
      <c r="B110" s="142"/>
      <c r="C110" s="94">
        <f ca="1">TblProd[[#This Row],[Platinum]]</f>
        <v>203296</v>
      </c>
      <c r="D110" s="94">
        <f ca="1">TblProd[[#This Row],[Lumber]]</f>
        <v>70706</v>
      </c>
      <c r="E110" s="94">
        <f ca="1">TblProd[[#This Row],[Ore]]</f>
        <v>0</v>
      </c>
      <c r="F110" s="94">
        <f ca="1">TblProd[[#This Row],[Gems]]</f>
        <v>0</v>
      </c>
      <c r="G110" s="154"/>
      <c r="H110" s="94">
        <f ca="1">TblMili[[#This Row],[Draftees]]</f>
        <v>608</v>
      </c>
      <c r="I110" s="180">
        <f ca="1">TblPop[[#This Row],[Employment]]</f>
        <v>1</v>
      </c>
      <c r="J110" s="180">
        <f ca="1">TblPop[[#This Row],[Total]]/TblPop[[#This Row],[Net max]]</f>
        <v>1</v>
      </c>
      <c r="K110" s="283">
        <f>TblRezone[[#This Row],[Hour]]</f>
        <v>107</v>
      </c>
      <c r="L110" s="284">
        <f ca="1">TblImps[[#This Row],[Real time]]</f>
        <v>45819.41666666641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45819.41666666641</v>
      </c>
      <c r="BZ110" s="294">
        <f ca="1">OFFSET(TblImps[[#This Row],[Servertime]],-1,0)+1/24</f>
        <v>45819.41666666641</v>
      </c>
      <c r="CA110" s="57"/>
      <c r="CB110" s="292"/>
      <c r="CC110" s="292"/>
      <c r="CD110" s="45" t="s">
        <v>212</v>
      </c>
    </row>
    <row r="111" spans="1:82" x14ac:dyDescent="0.2">
      <c r="A111" s="214">
        <f ca="1">TblConstr[[#This Row],[Land]]</f>
        <v>50</v>
      </c>
      <c r="B111" s="142"/>
      <c r="C111" s="94">
        <f ca="1">TblProd[[#This Row],[Platinum]]</f>
        <v>203730</v>
      </c>
      <c r="D111" s="94">
        <f ca="1">TblProd[[#This Row],[Lumber]]</f>
        <v>70999</v>
      </c>
      <c r="E111" s="94">
        <f ca="1">TblProd[[#This Row],[Ore]]</f>
        <v>0</v>
      </c>
      <c r="F111" s="94">
        <f ca="1">TblProd[[#This Row],[Gems]]</f>
        <v>0</v>
      </c>
      <c r="G111" s="154"/>
      <c r="H111" s="94">
        <f ca="1">TblMili[[#This Row],[Draftees]]</f>
        <v>610</v>
      </c>
      <c r="I111" s="180">
        <f ca="1">TblPop[[#This Row],[Employment]]</f>
        <v>1</v>
      </c>
      <c r="J111" s="180">
        <f ca="1">TblPop[[#This Row],[Total]]/TblPop[[#This Row],[Net max]]</f>
        <v>1</v>
      </c>
      <c r="K111" s="283">
        <f>TblRezone[[#This Row],[Hour]]</f>
        <v>108</v>
      </c>
      <c r="L111" s="284">
        <f ca="1">TblImps[[#This Row],[Real time]]</f>
        <v>45819.458333333074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45819.458333333074</v>
      </c>
      <c r="BZ111" s="294">
        <f ca="1">OFFSET(TblImps[[#This Row],[Servertime]],-1,0)+1/24</f>
        <v>45819.458333333074</v>
      </c>
      <c r="CA111" s="57"/>
      <c r="CB111" s="292"/>
      <c r="CC111" s="292"/>
      <c r="CD111" s="45" t="s">
        <v>213</v>
      </c>
    </row>
    <row r="112" spans="1:82" x14ac:dyDescent="0.2">
      <c r="A112" s="214">
        <f ca="1">TblConstr[[#This Row],[Land]]</f>
        <v>50</v>
      </c>
      <c r="B112" s="142"/>
      <c r="C112" s="94">
        <f ca="1">TblProd[[#This Row],[Platinum]]</f>
        <v>204159</v>
      </c>
      <c r="D112" s="94">
        <f ca="1">TblProd[[#This Row],[Lumber]]</f>
        <v>71289</v>
      </c>
      <c r="E112" s="94">
        <f ca="1">TblProd[[#This Row],[Ore]]</f>
        <v>0</v>
      </c>
      <c r="F112" s="94">
        <f ca="1">TblProd[[#This Row],[Gems]]</f>
        <v>0</v>
      </c>
      <c r="G112" s="154"/>
      <c r="H112" s="94">
        <f ca="1">TblMili[[#This Row],[Draftees]]</f>
        <v>612</v>
      </c>
      <c r="I112" s="180">
        <f ca="1">TblPop[[#This Row],[Employment]]</f>
        <v>1</v>
      </c>
      <c r="J112" s="180">
        <f ca="1">TblPop[[#This Row],[Total]]/TblPop[[#This Row],[Net max]]</f>
        <v>1</v>
      </c>
      <c r="K112" s="283">
        <f>TblRezone[[#This Row],[Hour]]</f>
        <v>109</v>
      </c>
      <c r="L112" s="284">
        <f ca="1">TblImps[[#This Row],[Real time]]</f>
        <v>45819.499999999738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45819.499999999738</v>
      </c>
      <c r="BZ112" s="294">
        <f ca="1">OFFSET(TblImps[[#This Row],[Servertime]],-1,0)+1/24</f>
        <v>45819.499999999738</v>
      </c>
      <c r="CA112" s="57"/>
      <c r="CB112" s="292"/>
      <c r="CC112" s="292"/>
      <c r="CD112" s="45" t="s">
        <v>214</v>
      </c>
    </row>
    <row r="113" spans="1:81" x14ac:dyDescent="0.2">
      <c r="A113" s="214">
        <f ca="1">TblConstr[[#This Row],[Land]]</f>
        <v>50</v>
      </c>
      <c r="B113" s="142"/>
      <c r="C113" s="94">
        <f ca="1">TblProd[[#This Row],[Platinum]]</f>
        <v>204582</v>
      </c>
      <c r="D113" s="94">
        <f ca="1">TblProd[[#This Row],[Lumber]]</f>
        <v>71576</v>
      </c>
      <c r="E113" s="94">
        <f ca="1">TblProd[[#This Row],[Ore]]</f>
        <v>0</v>
      </c>
      <c r="F113" s="94">
        <f ca="1">TblProd[[#This Row],[Gems]]</f>
        <v>0</v>
      </c>
      <c r="G113" s="154"/>
      <c r="H113" s="94">
        <f ca="1">TblMili[[#This Row],[Draftees]]</f>
        <v>614</v>
      </c>
      <c r="I113" s="180">
        <f ca="1">TblPop[[#This Row],[Employment]]</f>
        <v>1</v>
      </c>
      <c r="J113" s="180">
        <f ca="1">TblPop[[#This Row],[Total]]/TblPop[[#This Row],[Net max]]</f>
        <v>1</v>
      </c>
      <c r="K113" s="283">
        <f>TblRezone[[#This Row],[Hour]]</f>
        <v>110</v>
      </c>
      <c r="L113" s="284">
        <f ca="1">TblImps[[#This Row],[Real time]]</f>
        <v>45819.541666666402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45819.541666666402</v>
      </c>
      <c r="BZ113" s="294">
        <f ca="1">OFFSET(TblImps[[#This Row],[Servertime]],-1,0)+1/24</f>
        <v>45819.541666666402</v>
      </c>
      <c r="CA113" s="57"/>
      <c r="CB113" s="292"/>
      <c r="CC113" s="292"/>
    </row>
    <row r="114" spans="1:81" x14ac:dyDescent="0.2">
      <c r="A114" s="214">
        <f ca="1">TblConstr[[#This Row],[Land]]</f>
        <v>50</v>
      </c>
      <c r="B114" s="142"/>
      <c r="C114" s="94">
        <f ca="1">TblProd[[#This Row],[Platinum]]</f>
        <v>205000</v>
      </c>
      <c r="D114" s="94">
        <f ca="1">TblProd[[#This Row],[Lumber]]</f>
        <v>71860</v>
      </c>
      <c r="E114" s="94">
        <f ca="1">TblProd[[#This Row],[Ore]]</f>
        <v>0</v>
      </c>
      <c r="F114" s="94">
        <f ca="1">TblProd[[#This Row],[Gems]]</f>
        <v>0</v>
      </c>
      <c r="G114" s="154"/>
      <c r="H114" s="94">
        <f ca="1">TblMili[[#This Row],[Draftees]]</f>
        <v>616</v>
      </c>
      <c r="I114" s="180">
        <f ca="1">TblPop[[#This Row],[Employment]]</f>
        <v>1</v>
      </c>
      <c r="J114" s="180">
        <f ca="1">TblPop[[#This Row],[Total]]/TblPop[[#This Row],[Net max]]</f>
        <v>1</v>
      </c>
      <c r="K114" s="283">
        <f>TblRezone[[#This Row],[Hour]]</f>
        <v>111</v>
      </c>
      <c r="L114" s="284">
        <f ca="1">TblImps[[#This Row],[Real time]]</f>
        <v>45819.583333333067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45819.583333333067</v>
      </c>
      <c r="BZ114" s="294">
        <f ca="1">OFFSET(TblImps[[#This Row],[Servertime]],-1,0)+1/24</f>
        <v>45819.583333333067</v>
      </c>
      <c r="CA114" s="297"/>
      <c r="CB114" s="292"/>
      <c r="CC114" s="292"/>
    </row>
    <row r="115" spans="1:81" x14ac:dyDescent="0.2">
      <c r="A115" s="214">
        <f ca="1">TblConstr[[#This Row],[Land]]</f>
        <v>50</v>
      </c>
      <c r="B115" s="142"/>
      <c r="C115" s="94">
        <f ca="1">TblProd[[#This Row],[Platinum]]</f>
        <v>205413</v>
      </c>
      <c r="D115" s="94">
        <f ca="1">TblProd[[#This Row],[Lumber]]</f>
        <v>72141</v>
      </c>
      <c r="E115" s="94">
        <f ca="1">TblProd[[#This Row],[Ore]]</f>
        <v>0</v>
      </c>
      <c r="F115" s="94">
        <f ca="1">TblProd[[#This Row],[Gems]]</f>
        <v>0</v>
      </c>
      <c r="G115" s="154"/>
      <c r="H115" s="94">
        <f ca="1">TblMili[[#This Row],[Draftees]]</f>
        <v>618</v>
      </c>
      <c r="I115" s="180">
        <f ca="1">TblPop[[#This Row],[Employment]]</f>
        <v>1</v>
      </c>
      <c r="J115" s="180">
        <f ca="1">TblPop[[#This Row],[Total]]/TblPop[[#This Row],[Net max]]</f>
        <v>1</v>
      </c>
      <c r="K115" s="283">
        <f>TblRezone[[#This Row],[Hour]]</f>
        <v>112</v>
      </c>
      <c r="L115" s="284">
        <f ca="1">TblImps[[#This Row],[Real time]]</f>
        <v>45819.624999999731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45819.624999999731</v>
      </c>
      <c r="BZ115" s="294">
        <f ca="1">OFFSET(TblImps[[#This Row],[Servertime]],-1,0)+1/24</f>
        <v>45819.624999999731</v>
      </c>
      <c r="CA115" s="57"/>
      <c r="CB115" s="292"/>
      <c r="CC115" s="292"/>
    </row>
    <row r="116" spans="1:81" x14ac:dyDescent="0.2">
      <c r="A116" s="214">
        <f ca="1">TblConstr[[#This Row],[Land]]</f>
        <v>50</v>
      </c>
      <c r="B116" s="142"/>
      <c r="C116" s="94">
        <f ca="1">TblProd[[#This Row],[Platinum]]</f>
        <v>205820</v>
      </c>
      <c r="D116" s="94">
        <f ca="1">TblProd[[#This Row],[Lumber]]</f>
        <v>72420</v>
      </c>
      <c r="E116" s="94">
        <f ca="1">TblProd[[#This Row],[Ore]]</f>
        <v>0</v>
      </c>
      <c r="F116" s="94">
        <f ca="1">TblProd[[#This Row],[Gems]]</f>
        <v>0</v>
      </c>
      <c r="G116" s="154"/>
      <c r="H116" s="94">
        <f ca="1">TblMili[[#This Row],[Draftees]]</f>
        <v>620</v>
      </c>
      <c r="I116" s="180">
        <f ca="1">TblPop[[#This Row],[Employment]]</f>
        <v>1</v>
      </c>
      <c r="J116" s="180">
        <f ca="1">TblPop[[#This Row],[Total]]/TblPop[[#This Row],[Net max]]</f>
        <v>1</v>
      </c>
      <c r="K116" s="283">
        <f>TblRezone[[#This Row],[Hour]]</f>
        <v>113</v>
      </c>
      <c r="L116" s="284">
        <f ca="1">TblImps[[#This Row],[Real time]]</f>
        <v>45819.666666666395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45819.666666666395</v>
      </c>
      <c r="BZ116" s="294">
        <f ca="1">OFFSET(TblImps[[#This Row],[Servertime]],-1,0)+1/24</f>
        <v>45819.666666666395</v>
      </c>
      <c r="CA116" s="57"/>
      <c r="CB116" s="292"/>
      <c r="CC116" s="292"/>
    </row>
    <row r="117" spans="1:81" x14ac:dyDescent="0.2">
      <c r="A117" s="214">
        <f ca="1">TblConstr[[#This Row],[Land]]</f>
        <v>50</v>
      </c>
      <c r="B117" s="142"/>
      <c r="C117" s="94">
        <f ca="1">TblProd[[#This Row],[Platinum]]</f>
        <v>206222</v>
      </c>
      <c r="D117" s="94">
        <f ca="1">TblProd[[#This Row],[Lumber]]</f>
        <v>72696</v>
      </c>
      <c r="E117" s="94">
        <f ca="1">TblProd[[#This Row],[Ore]]</f>
        <v>0</v>
      </c>
      <c r="F117" s="94">
        <f ca="1">TblProd[[#This Row],[Gems]]</f>
        <v>0</v>
      </c>
      <c r="G117" s="154"/>
      <c r="H117" s="94">
        <f ca="1">TblMili[[#This Row],[Draftees]]</f>
        <v>621</v>
      </c>
      <c r="I117" s="180">
        <f ca="1">TblPop[[#This Row],[Employment]]</f>
        <v>1</v>
      </c>
      <c r="J117" s="180">
        <f ca="1">TblPop[[#This Row],[Total]]/TblPop[[#This Row],[Net max]]</f>
        <v>1</v>
      </c>
      <c r="K117" s="283">
        <f>TblRezone[[#This Row],[Hour]]</f>
        <v>114</v>
      </c>
      <c r="L117" s="284">
        <f ca="1">TblImps[[#This Row],[Real time]]</f>
        <v>45819.708333333059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45819.708333333059</v>
      </c>
      <c r="BZ117" s="294">
        <f ca="1">OFFSET(TblImps[[#This Row],[Servertime]],-1,0)+1/24</f>
        <v>45819.708333333059</v>
      </c>
      <c r="CA117" s="57"/>
      <c r="CB117" s="292"/>
      <c r="CC117" s="292"/>
    </row>
    <row r="118" spans="1:81" x14ac:dyDescent="0.2">
      <c r="A118" s="214">
        <f ca="1">TblConstr[[#This Row],[Land]]</f>
        <v>50</v>
      </c>
      <c r="B118" s="142"/>
      <c r="C118" s="94">
        <f ca="1">TblProd[[#This Row],[Platinum]]</f>
        <v>206621</v>
      </c>
      <c r="D118" s="94">
        <f ca="1">TblProd[[#This Row],[Lumber]]</f>
        <v>72969</v>
      </c>
      <c r="E118" s="94">
        <f ca="1">TblProd[[#This Row],[Ore]]</f>
        <v>0</v>
      </c>
      <c r="F118" s="94">
        <f ca="1">TblProd[[#This Row],[Gems]]</f>
        <v>0</v>
      </c>
      <c r="G118" s="154"/>
      <c r="H118" s="94">
        <f ca="1">TblMili[[#This Row],[Draftees]]</f>
        <v>622</v>
      </c>
      <c r="I118" s="180">
        <f ca="1">TblPop[[#This Row],[Employment]]</f>
        <v>1</v>
      </c>
      <c r="J118" s="180">
        <f ca="1">TblPop[[#This Row],[Total]]/TblPop[[#This Row],[Net max]]</f>
        <v>1</v>
      </c>
      <c r="K118" s="283">
        <f>TblRezone[[#This Row],[Hour]]</f>
        <v>115</v>
      </c>
      <c r="L118" s="284">
        <f ca="1">TblImps[[#This Row],[Real time]]</f>
        <v>45819.749999999724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45819.749999999724</v>
      </c>
      <c r="BZ118" s="294">
        <f ca="1">OFFSET(TblImps[[#This Row],[Servertime]],-1,0)+1/24</f>
        <v>45819.749999999724</v>
      </c>
      <c r="CA118" s="57"/>
      <c r="CB118" s="292"/>
      <c r="CC118" s="292"/>
    </row>
    <row r="119" spans="1:81" x14ac:dyDescent="0.2">
      <c r="A119" s="214">
        <f ca="1">TblConstr[[#This Row],[Land]]</f>
        <v>50</v>
      </c>
      <c r="B119" s="142"/>
      <c r="C119" s="94">
        <f ca="1">TblProd[[#This Row],[Platinum]]</f>
        <v>207017</v>
      </c>
      <c r="D119" s="94">
        <f ca="1">TblProd[[#This Row],[Lumber]]</f>
        <v>73239</v>
      </c>
      <c r="E119" s="94">
        <f ca="1">TblProd[[#This Row],[Ore]]</f>
        <v>0</v>
      </c>
      <c r="F119" s="94">
        <f ca="1">TblProd[[#This Row],[Gems]]</f>
        <v>0</v>
      </c>
      <c r="G119" s="154"/>
      <c r="H119" s="94">
        <f ca="1">TblMili[[#This Row],[Draftees]]</f>
        <v>623</v>
      </c>
      <c r="I119" s="180">
        <f ca="1">TblPop[[#This Row],[Employment]]</f>
        <v>1</v>
      </c>
      <c r="J119" s="180">
        <f ca="1">TblPop[[#This Row],[Total]]/TblPop[[#This Row],[Net max]]</f>
        <v>1</v>
      </c>
      <c r="K119" s="283">
        <f>TblRezone[[#This Row],[Hour]]</f>
        <v>116</v>
      </c>
      <c r="L119" s="284">
        <f ca="1">TblImps[[#This Row],[Real time]]</f>
        <v>45819.791666666388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45819.791666666388</v>
      </c>
      <c r="BZ119" s="294">
        <f ca="1">OFFSET(TblImps[[#This Row],[Servertime]],-1,0)+1/24</f>
        <v>45819.791666666388</v>
      </c>
      <c r="CA119" s="57"/>
      <c r="CB119" s="292"/>
      <c r="CC119" s="292"/>
    </row>
    <row r="120" spans="1:81" x14ac:dyDescent="0.2">
      <c r="A120" s="214">
        <f ca="1">TblConstr[[#This Row],[Land]]</f>
        <v>50</v>
      </c>
      <c r="B120" s="142"/>
      <c r="C120" s="94">
        <f ca="1">TblProd[[#This Row],[Platinum]]</f>
        <v>207411</v>
      </c>
      <c r="D120" s="94">
        <f ca="1">TblProd[[#This Row],[Lumber]]</f>
        <v>73507</v>
      </c>
      <c r="E120" s="94">
        <f ca="1">TblProd[[#This Row],[Ore]]</f>
        <v>0</v>
      </c>
      <c r="F120" s="94">
        <f ca="1">TblProd[[#This Row],[Gems]]</f>
        <v>0</v>
      </c>
      <c r="G120" s="154"/>
      <c r="H120" s="94">
        <f ca="1">TblMili[[#This Row],[Draftees]]</f>
        <v>624</v>
      </c>
      <c r="I120" s="180">
        <f ca="1">TblPop[[#This Row],[Employment]]</f>
        <v>1</v>
      </c>
      <c r="J120" s="180">
        <f ca="1">TblPop[[#This Row],[Total]]/TblPop[[#This Row],[Net max]]</f>
        <v>1</v>
      </c>
      <c r="K120" s="283">
        <f>TblRezone[[#This Row],[Hour]]</f>
        <v>117</v>
      </c>
      <c r="L120" s="284">
        <f ca="1">TblImps[[#This Row],[Real time]]</f>
        <v>45819.833333333052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45819.833333333052</v>
      </c>
      <c r="BZ120" s="294">
        <f ca="1">OFFSET(TblImps[[#This Row],[Servertime]],-1,0)+1/24</f>
        <v>45819.833333333052</v>
      </c>
      <c r="CA120" s="57"/>
      <c r="CB120" s="292"/>
      <c r="CC120" s="292"/>
    </row>
    <row r="121" spans="1:81" x14ac:dyDescent="0.2">
      <c r="A121" s="214">
        <f ca="1">TblConstr[[#This Row],[Land]]</f>
        <v>50</v>
      </c>
      <c r="B121" s="142"/>
      <c r="C121" s="94">
        <f ca="1">TblProd[[#This Row],[Platinum]]</f>
        <v>207802</v>
      </c>
      <c r="D121" s="94">
        <f ca="1">TblProd[[#This Row],[Lumber]]</f>
        <v>73772</v>
      </c>
      <c r="E121" s="94">
        <f ca="1">TblProd[[#This Row],[Ore]]</f>
        <v>0</v>
      </c>
      <c r="F121" s="94">
        <f ca="1">TblProd[[#This Row],[Gems]]</f>
        <v>0</v>
      </c>
      <c r="G121" s="154"/>
      <c r="H121" s="94">
        <f ca="1">TblMili[[#This Row],[Draftees]]</f>
        <v>625</v>
      </c>
      <c r="I121" s="180">
        <f ca="1">TblPop[[#This Row],[Employment]]</f>
        <v>1</v>
      </c>
      <c r="J121" s="180">
        <f ca="1">TblPop[[#This Row],[Total]]/TblPop[[#This Row],[Net max]]</f>
        <v>1</v>
      </c>
      <c r="K121" s="283">
        <f>TblRezone[[#This Row],[Hour]]</f>
        <v>118</v>
      </c>
      <c r="L121" s="284">
        <f ca="1">TblImps[[#This Row],[Real time]]</f>
        <v>45819.874999999716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45819.874999999716</v>
      </c>
      <c r="BZ121" s="294">
        <f ca="1">OFFSET(TblImps[[#This Row],[Servertime]],-1,0)+1/24</f>
        <v>45819.874999999716</v>
      </c>
      <c r="CA121" s="57"/>
      <c r="CB121" s="292"/>
      <c r="CC121" s="292"/>
    </row>
    <row r="122" spans="1:81" x14ac:dyDescent="0.2">
      <c r="A122" s="214">
        <f ca="1">TblConstr[[#This Row],[Land]]</f>
        <v>50</v>
      </c>
      <c r="B122" s="142"/>
      <c r="C122" s="94">
        <f ca="1">TblProd[[#This Row],[Platinum]]</f>
        <v>208190</v>
      </c>
      <c r="D122" s="94">
        <f ca="1">TblProd[[#This Row],[Lumber]]</f>
        <v>74034</v>
      </c>
      <c r="E122" s="94">
        <f ca="1">TblProd[[#This Row],[Ore]]</f>
        <v>0</v>
      </c>
      <c r="F122" s="94">
        <f ca="1">TblProd[[#This Row],[Gems]]</f>
        <v>0</v>
      </c>
      <c r="G122" s="154"/>
      <c r="H122" s="94">
        <f ca="1">TblMili[[#This Row],[Draftees]]</f>
        <v>626</v>
      </c>
      <c r="I122" s="180">
        <f ca="1">TblPop[[#This Row],[Employment]]</f>
        <v>1</v>
      </c>
      <c r="J122" s="180">
        <f ca="1">TblPop[[#This Row],[Total]]/TblPop[[#This Row],[Net max]]</f>
        <v>1</v>
      </c>
      <c r="K122" s="283">
        <f>TblRezone[[#This Row],[Hour]]</f>
        <v>119</v>
      </c>
      <c r="L122" s="284">
        <f ca="1">TblImps[[#This Row],[Real time]]</f>
        <v>45819.91666666638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45819.91666666638</v>
      </c>
      <c r="BZ122" s="294">
        <f ca="1">OFFSET(TblImps[[#This Row],[Servertime]],-1,0)+1/24</f>
        <v>45819.91666666638</v>
      </c>
      <c r="CA122" s="57"/>
      <c r="CB122" s="292"/>
      <c r="CC122" s="292"/>
    </row>
    <row r="123" spans="1:81" x14ac:dyDescent="0.2">
      <c r="A123" s="214">
        <f ca="1">TblConstr[[#This Row],[Land]]</f>
        <v>50</v>
      </c>
      <c r="B123" s="142"/>
      <c r="C123" s="94">
        <f ca="1">TblProd[[#This Row],[Platinum]]</f>
        <v>208576</v>
      </c>
      <c r="D123" s="94">
        <f ca="1">TblProd[[#This Row],[Lumber]]</f>
        <v>74294</v>
      </c>
      <c r="E123" s="94">
        <f ca="1">TblProd[[#This Row],[Ore]]</f>
        <v>0</v>
      </c>
      <c r="F123" s="94">
        <f ca="1">TblProd[[#This Row],[Gems]]</f>
        <v>0</v>
      </c>
      <c r="G123" s="154"/>
      <c r="H123" s="94">
        <f ca="1">TblMili[[#This Row],[Draftees]]</f>
        <v>627</v>
      </c>
      <c r="I123" s="180">
        <f ca="1">TblPop[[#This Row],[Employment]]</f>
        <v>1</v>
      </c>
      <c r="J123" s="180">
        <f ca="1">TblPop[[#This Row],[Total]]/TblPop[[#This Row],[Net max]]</f>
        <v>1</v>
      </c>
      <c r="K123" s="283">
        <f>TblRezone[[#This Row],[Hour]]</f>
        <v>120</v>
      </c>
      <c r="L123" s="284">
        <f ca="1">TblImps[[#This Row],[Real time]]</f>
        <v>45819.958333333045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45819.958333333045</v>
      </c>
      <c r="BZ123" s="294">
        <f ca="1">OFFSET(TblImps[[#This Row],[Servertime]],-1,0)+1/24</f>
        <v>45819.958333333045</v>
      </c>
      <c r="CA123" s="57"/>
      <c r="CB123" s="292"/>
      <c r="CC123" s="292"/>
    </row>
    <row r="124" spans="1:81" x14ac:dyDescent="0.2">
      <c r="A124" s="214">
        <f ca="1">TblConstr[[#This Row],[Land]]</f>
        <v>50</v>
      </c>
      <c r="B124" s="142"/>
      <c r="C124" s="94">
        <f ca="1">TblProd[[#This Row],[Platinum]]</f>
        <v>208959</v>
      </c>
      <c r="D124" s="94">
        <f ca="1">TblProd[[#This Row],[Lumber]]</f>
        <v>74551</v>
      </c>
      <c r="E124" s="94">
        <f ca="1">TblProd[[#This Row],[Ore]]</f>
        <v>0</v>
      </c>
      <c r="F124" s="94">
        <f ca="1">TblProd[[#This Row],[Gems]]</f>
        <v>0</v>
      </c>
      <c r="G124" s="154"/>
      <c r="H124" s="94">
        <f ca="1">TblMili[[#This Row],[Draftees]]</f>
        <v>628</v>
      </c>
      <c r="I124" s="180">
        <f ca="1">TblPop[[#This Row],[Employment]]</f>
        <v>1</v>
      </c>
      <c r="J124" s="180">
        <f ca="1">TblPop[[#This Row],[Total]]/TblPop[[#This Row],[Net max]]</f>
        <v>1</v>
      </c>
      <c r="K124" s="283">
        <f>TblRezone[[#This Row],[Hour]]</f>
        <v>121</v>
      </c>
      <c r="L124" s="284">
        <f ca="1">TblImps[[#This Row],[Real time]]</f>
        <v>45819.999999999709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45819.999999999709</v>
      </c>
      <c r="BZ124" s="294">
        <f ca="1">OFFSET(TblImps[[#This Row],[Servertime]],-1,0)+1/24</f>
        <v>45819.999999999709</v>
      </c>
      <c r="CA124" s="57"/>
      <c r="CB124" s="292"/>
      <c r="CC124" s="292"/>
    </row>
    <row r="125" spans="1:81" x14ac:dyDescent="0.2">
      <c r="A125" s="214">
        <f ca="1">TblConstr[[#This Row],[Land]]</f>
        <v>50</v>
      </c>
      <c r="B125" s="142"/>
      <c r="C125" s="94">
        <f ca="1">TblProd[[#This Row],[Platinum]]</f>
        <v>209339</v>
      </c>
      <c r="D125" s="94">
        <f ca="1">TblProd[[#This Row],[Lumber]]</f>
        <v>74805</v>
      </c>
      <c r="E125" s="94">
        <f ca="1">TblProd[[#This Row],[Ore]]</f>
        <v>0</v>
      </c>
      <c r="F125" s="94">
        <f ca="1">TblProd[[#This Row],[Gems]]</f>
        <v>0</v>
      </c>
      <c r="G125" s="154"/>
      <c r="H125" s="94">
        <f ca="1">TblMili[[#This Row],[Draftees]]</f>
        <v>629</v>
      </c>
      <c r="I125" s="180">
        <f ca="1">TblPop[[#This Row],[Employment]]</f>
        <v>1</v>
      </c>
      <c r="J125" s="180">
        <f ca="1">TblPop[[#This Row],[Total]]/TblPop[[#This Row],[Net max]]</f>
        <v>1</v>
      </c>
      <c r="K125" s="283">
        <f>TblRezone[[#This Row],[Hour]]</f>
        <v>122</v>
      </c>
      <c r="L125" s="284">
        <f ca="1">TblImps[[#This Row],[Real time]]</f>
        <v>45820.041666666373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45820.041666666373</v>
      </c>
      <c r="BZ125" s="294">
        <f ca="1">OFFSET(TblImps[[#This Row],[Servertime]],-1,0)+1/24</f>
        <v>45820.041666666373</v>
      </c>
      <c r="CA125" s="57"/>
      <c r="CB125" s="292"/>
      <c r="CC125" s="292"/>
    </row>
    <row r="126" spans="1:81" x14ac:dyDescent="0.2">
      <c r="A126" s="214">
        <f ca="1">TblConstr[[#This Row],[Land]]</f>
        <v>50</v>
      </c>
      <c r="B126" s="142"/>
      <c r="C126" s="94">
        <f ca="1">TblProd[[#This Row],[Platinum]]</f>
        <v>209717</v>
      </c>
      <c r="D126" s="94">
        <f ca="1">TblProd[[#This Row],[Lumber]]</f>
        <v>75057</v>
      </c>
      <c r="E126" s="94">
        <f ca="1">TblProd[[#This Row],[Ore]]</f>
        <v>0</v>
      </c>
      <c r="F126" s="94">
        <f ca="1">TblProd[[#This Row],[Gems]]</f>
        <v>0</v>
      </c>
      <c r="G126" s="154"/>
      <c r="H126" s="94">
        <f ca="1">TblMili[[#This Row],[Draftees]]</f>
        <v>630</v>
      </c>
      <c r="I126" s="180">
        <f ca="1">TblPop[[#This Row],[Employment]]</f>
        <v>1</v>
      </c>
      <c r="J126" s="180">
        <f ca="1">TblPop[[#This Row],[Total]]/TblPop[[#This Row],[Net max]]</f>
        <v>1</v>
      </c>
      <c r="K126" s="283">
        <f>TblRezone[[#This Row],[Hour]]</f>
        <v>123</v>
      </c>
      <c r="L126" s="284">
        <f ca="1">TblImps[[#This Row],[Real time]]</f>
        <v>45820.083333333037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45820.083333333037</v>
      </c>
      <c r="BZ126" s="294">
        <f ca="1">OFFSET(TblImps[[#This Row],[Servertime]],-1,0)+1/24</f>
        <v>45820.083333333037</v>
      </c>
      <c r="CA126" s="57"/>
      <c r="CB126" s="292"/>
      <c r="CC126" s="292"/>
    </row>
    <row r="127" spans="1:81" x14ac:dyDescent="0.2">
      <c r="A127" s="214">
        <f ca="1">TblConstr[[#This Row],[Land]]</f>
        <v>50</v>
      </c>
      <c r="B127" s="142"/>
      <c r="C127" s="94">
        <f ca="1">TblProd[[#This Row],[Platinum]]</f>
        <v>210092</v>
      </c>
      <c r="D127" s="94">
        <f ca="1">TblProd[[#This Row],[Lumber]]</f>
        <v>75306</v>
      </c>
      <c r="E127" s="94">
        <f ca="1">TblProd[[#This Row],[Ore]]</f>
        <v>0</v>
      </c>
      <c r="F127" s="94">
        <f ca="1">TblProd[[#This Row],[Gems]]</f>
        <v>0</v>
      </c>
      <c r="G127" s="154"/>
      <c r="H127" s="94">
        <f ca="1">TblMili[[#This Row],[Draftees]]</f>
        <v>631</v>
      </c>
      <c r="I127" s="180">
        <f ca="1">TblPop[[#This Row],[Employment]]</f>
        <v>1</v>
      </c>
      <c r="J127" s="180">
        <f ca="1">TblPop[[#This Row],[Total]]/TblPop[[#This Row],[Net max]]</f>
        <v>1</v>
      </c>
      <c r="K127" s="283">
        <f>TblRezone[[#This Row],[Hour]]</f>
        <v>124</v>
      </c>
      <c r="L127" s="284">
        <f ca="1">TblImps[[#This Row],[Real time]]</f>
        <v>45820.124999999702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45820.124999999702</v>
      </c>
      <c r="BZ127" s="294">
        <f ca="1">OFFSET(TblImps[[#This Row],[Servertime]],-1,0)+1/24</f>
        <v>45820.124999999702</v>
      </c>
      <c r="CA127" s="57"/>
      <c r="CB127" s="292"/>
      <c r="CC127" s="292"/>
    </row>
    <row r="128" spans="1:81" x14ac:dyDescent="0.2">
      <c r="A128" s="214">
        <f ca="1">TblConstr[[#This Row],[Land]]</f>
        <v>50</v>
      </c>
      <c r="B128" s="142"/>
      <c r="C128" s="94">
        <f ca="1">TblProd[[#This Row],[Platinum]]</f>
        <v>210464</v>
      </c>
      <c r="D128" s="94">
        <f ca="1">TblProd[[#This Row],[Lumber]]</f>
        <v>75553</v>
      </c>
      <c r="E128" s="94">
        <f ca="1">TblProd[[#This Row],[Ore]]</f>
        <v>0</v>
      </c>
      <c r="F128" s="94">
        <f ca="1">TblProd[[#This Row],[Gems]]</f>
        <v>0</v>
      </c>
      <c r="G128" s="154"/>
      <c r="H128" s="94">
        <f ca="1">TblMili[[#This Row],[Draftees]]</f>
        <v>632</v>
      </c>
      <c r="I128" s="180">
        <f ca="1">TblPop[[#This Row],[Employment]]</f>
        <v>1</v>
      </c>
      <c r="J128" s="180">
        <f ca="1">TblPop[[#This Row],[Total]]/TblPop[[#This Row],[Net max]]</f>
        <v>1</v>
      </c>
      <c r="K128" s="283">
        <f>TblRezone[[#This Row],[Hour]]</f>
        <v>125</v>
      </c>
      <c r="L128" s="284">
        <f ca="1">TblImps[[#This Row],[Real time]]</f>
        <v>45820.166666666366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45820.166666666366</v>
      </c>
      <c r="BZ128" s="294">
        <f ca="1">OFFSET(TblImps[[#This Row],[Servertime]],-1,0)+1/24</f>
        <v>45820.166666666366</v>
      </c>
      <c r="CA128" s="57"/>
      <c r="CB128" s="292"/>
      <c r="CC128" s="292"/>
    </row>
    <row r="129" spans="1:81" x14ac:dyDescent="0.2">
      <c r="A129" s="214">
        <f ca="1">TblConstr[[#This Row],[Land]]</f>
        <v>50</v>
      </c>
      <c r="B129" s="142"/>
      <c r="C129" s="94">
        <f ca="1">TblProd[[#This Row],[Platinum]]</f>
        <v>210833</v>
      </c>
      <c r="D129" s="94">
        <f ca="1">TblProd[[#This Row],[Lumber]]</f>
        <v>75797</v>
      </c>
      <c r="E129" s="94">
        <f ca="1">TblProd[[#This Row],[Ore]]</f>
        <v>0</v>
      </c>
      <c r="F129" s="94">
        <f ca="1">TblProd[[#This Row],[Gems]]</f>
        <v>0</v>
      </c>
      <c r="G129" s="154"/>
      <c r="H129" s="94">
        <f ca="1">TblMili[[#This Row],[Draftees]]</f>
        <v>633</v>
      </c>
      <c r="I129" s="180">
        <f ca="1">TblPop[[#This Row],[Employment]]</f>
        <v>1</v>
      </c>
      <c r="J129" s="180">
        <f ca="1">TblPop[[#This Row],[Total]]/TblPop[[#This Row],[Net max]]</f>
        <v>1</v>
      </c>
      <c r="K129" s="283">
        <f>TblRezone[[#This Row],[Hour]]</f>
        <v>126</v>
      </c>
      <c r="L129" s="284">
        <f ca="1">TblImps[[#This Row],[Real time]]</f>
        <v>45820.20833333303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45820.20833333303</v>
      </c>
      <c r="BZ129" s="294">
        <f ca="1">OFFSET(TblImps[[#This Row],[Servertime]],-1,0)+1/24</f>
        <v>45820.20833333303</v>
      </c>
      <c r="CA129" s="57"/>
      <c r="CB129" s="292"/>
      <c r="CC129" s="292"/>
    </row>
    <row r="130" spans="1:81" x14ac:dyDescent="0.2">
      <c r="A130" s="214">
        <f ca="1">TblConstr[[#This Row],[Land]]</f>
        <v>50</v>
      </c>
      <c r="B130" s="142"/>
      <c r="C130" s="94">
        <f ca="1">TblProd[[#This Row],[Platinum]]</f>
        <v>211200</v>
      </c>
      <c r="D130" s="94">
        <f ca="1">TblProd[[#This Row],[Lumber]]</f>
        <v>76039</v>
      </c>
      <c r="E130" s="94">
        <f ca="1">TblProd[[#This Row],[Ore]]</f>
        <v>0</v>
      </c>
      <c r="F130" s="94">
        <f ca="1">TblProd[[#This Row],[Gems]]</f>
        <v>0</v>
      </c>
      <c r="G130" s="154"/>
      <c r="H130" s="94">
        <f ca="1">TblMili[[#This Row],[Draftees]]</f>
        <v>634</v>
      </c>
      <c r="I130" s="180">
        <f ca="1">TblPop[[#This Row],[Employment]]</f>
        <v>1</v>
      </c>
      <c r="J130" s="180">
        <f ca="1">TblPop[[#This Row],[Total]]/TblPop[[#This Row],[Net max]]</f>
        <v>1</v>
      </c>
      <c r="K130" s="283">
        <f>TblRezone[[#This Row],[Hour]]</f>
        <v>127</v>
      </c>
      <c r="L130" s="284">
        <f ca="1">TblImps[[#This Row],[Real time]]</f>
        <v>45820.249999999694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45820.249999999694</v>
      </c>
      <c r="BZ130" s="294">
        <f ca="1">OFFSET(TblImps[[#This Row],[Servertime]],-1,0)+1/24</f>
        <v>45820.249999999694</v>
      </c>
      <c r="CA130" s="57"/>
      <c r="CB130" s="292"/>
      <c r="CC130" s="292"/>
    </row>
    <row r="131" spans="1:81" x14ac:dyDescent="0.2">
      <c r="A131" s="214">
        <f ca="1">TblConstr[[#This Row],[Land]]</f>
        <v>50</v>
      </c>
      <c r="B131" s="142"/>
      <c r="C131" s="94">
        <f ca="1">TblProd[[#This Row],[Platinum]]</f>
        <v>211564</v>
      </c>
      <c r="D131" s="94">
        <f ca="1">TblProd[[#This Row],[Lumber]]</f>
        <v>76279</v>
      </c>
      <c r="E131" s="94">
        <f ca="1">TblProd[[#This Row],[Ore]]</f>
        <v>0</v>
      </c>
      <c r="F131" s="94">
        <f ca="1">TblProd[[#This Row],[Gems]]</f>
        <v>0</v>
      </c>
      <c r="G131" s="154"/>
      <c r="H131" s="94">
        <f ca="1">TblMili[[#This Row],[Draftees]]</f>
        <v>635</v>
      </c>
      <c r="I131" s="180">
        <f ca="1">TblPop[[#This Row],[Employment]]</f>
        <v>1</v>
      </c>
      <c r="J131" s="180">
        <f ca="1">TblPop[[#This Row],[Total]]/TblPop[[#This Row],[Net max]]</f>
        <v>1</v>
      </c>
      <c r="K131" s="283">
        <f>TblRezone[[#This Row],[Hour]]</f>
        <v>128</v>
      </c>
      <c r="L131" s="284">
        <f ca="1">TblImps[[#This Row],[Real time]]</f>
        <v>45820.291666666359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45820.291666666359</v>
      </c>
      <c r="BZ131" s="294">
        <f ca="1">OFFSET(TblImps[[#This Row],[Servertime]],-1,0)+1/24</f>
        <v>45820.291666666359</v>
      </c>
      <c r="CA131" s="57"/>
      <c r="CB131" s="292"/>
      <c r="CC131" s="292"/>
    </row>
    <row r="132" spans="1:81" x14ac:dyDescent="0.2">
      <c r="A132" s="214">
        <f ca="1">TblConstr[[#This Row],[Land]]</f>
        <v>50</v>
      </c>
      <c r="B132" s="142"/>
      <c r="C132" s="94">
        <f ca="1">TblProd[[#This Row],[Platinum]]</f>
        <v>211925</v>
      </c>
      <c r="D132" s="94">
        <f ca="1">TblProd[[#This Row],[Lumber]]</f>
        <v>76516</v>
      </c>
      <c r="E132" s="94">
        <f ca="1">TblProd[[#This Row],[Ore]]</f>
        <v>0</v>
      </c>
      <c r="F132" s="94">
        <f ca="1">TblProd[[#This Row],[Gems]]</f>
        <v>0</v>
      </c>
      <c r="G132" s="154"/>
      <c r="H132" s="94">
        <f ca="1">TblMili[[#This Row],[Draftees]]</f>
        <v>636</v>
      </c>
      <c r="I132" s="180">
        <f ca="1">TblPop[[#This Row],[Employment]]</f>
        <v>1</v>
      </c>
      <c r="J132" s="180">
        <f ca="1">TblPop[[#This Row],[Total]]/TblPop[[#This Row],[Net max]]</f>
        <v>1</v>
      </c>
      <c r="K132" s="283">
        <f>TblRezone[[#This Row],[Hour]]</f>
        <v>129</v>
      </c>
      <c r="L132" s="284">
        <f ca="1">TblImps[[#This Row],[Real time]]</f>
        <v>45820.333333333023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45820.333333333023</v>
      </c>
      <c r="BZ132" s="294">
        <f ca="1">OFFSET(TblImps[[#This Row],[Servertime]],-1,0)+1/24</f>
        <v>45820.333333333023</v>
      </c>
      <c r="CA132" s="57"/>
      <c r="CB132" s="292"/>
      <c r="CC132" s="292"/>
    </row>
    <row r="133" spans="1:81" x14ac:dyDescent="0.2">
      <c r="A133" s="214">
        <f ca="1">TblConstr[[#This Row],[Land]]</f>
        <v>50</v>
      </c>
      <c r="B133" s="142"/>
      <c r="C133" s="94">
        <f ca="1">TblProd[[#This Row],[Platinum]]</f>
        <v>212284</v>
      </c>
      <c r="D133" s="94">
        <f ca="1">TblProd[[#This Row],[Lumber]]</f>
        <v>76751</v>
      </c>
      <c r="E133" s="94">
        <f ca="1">TblProd[[#This Row],[Ore]]</f>
        <v>0</v>
      </c>
      <c r="F133" s="94">
        <f ca="1">TblProd[[#This Row],[Gems]]</f>
        <v>0</v>
      </c>
      <c r="G133" s="154"/>
      <c r="H133" s="94">
        <f ca="1">TblMili[[#This Row],[Draftees]]</f>
        <v>637</v>
      </c>
      <c r="I133" s="180">
        <f ca="1">TblPop[[#This Row],[Employment]]</f>
        <v>1</v>
      </c>
      <c r="J133" s="180">
        <f ca="1">TblPop[[#This Row],[Total]]/TblPop[[#This Row],[Net max]]</f>
        <v>1</v>
      </c>
      <c r="K133" s="283">
        <f>TblRezone[[#This Row],[Hour]]</f>
        <v>130</v>
      </c>
      <c r="L133" s="284">
        <f ca="1">TblImps[[#This Row],[Real time]]</f>
        <v>45820.374999999687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45820.374999999687</v>
      </c>
      <c r="BZ133" s="294">
        <f ca="1">OFFSET(TblImps[[#This Row],[Servertime]],-1,0)+1/24</f>
        <v>45820.374999999687</v>
      </c>
      <c r="CA133" s="57"/>
      <c r="CB133" s="292"/>
      <c r="CC133" s="292"/>
    </row>
    <row r="134" spans="1:81" x14ac:dyDescent="0.2">
      <c r="A134" s="214">
        <f ca="1">TblConstr[[#This Row],[Land]]</f>
        <v>50</v>
      </c>
      <c r="B134" s="142"/>
      <c r="C134" s="94">
        <f ca="1">TblProd[[#This Row],[Platinum]]</f>
        <v>212640</v>
      </c>
      <c r="D134" s="94">
        <f ca="1">TblProd[[#This Row],[Lumber]]</f>
        <v>76983</v>
      </c>
      <c r="E134" s="94">
        <f ca="1">TblProd[[#This Row],[Ore]]</f>
        <v>0</v>
      </c>
      <c r="F134" s="94">
        <f ca="1">TblProd[[#This Row],[Gems]]</f>
        <v>0</v>
      </c>
      <c r="G134" s="154"/>
      <c r="H134" s="94">
        <f ca="1">TblMili[[#This Row],[Draftees]]</f>
        <v>638</v>
      </c>
      <c r="I134" s="180">
        <f ca="1">TblPop[[#This Row],[Employment]]</f>
        <v>1</v>
      </c>
      <c r="J134" s="180">
        <f ca="1">TblPop[[#This Row],[Total]]/TblPop[[#This Row],[Net max]]</f>
        <v>1</v>
      </c>
      <c r="K134" s="283">
        <f>TblRezone[[#This Row],[Hour]]</f>
        <v>131</v>
      </c>
      <c r="L134" s="284">
        <f ca="1">TblImps[[#This Row],[Real time]]</f>
        <v>45820.416666666351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45820.416666666351</v>
      </c>
      <c r="BZ134" s="294">
        <f ca="1">OFFSET(TblImps[[#This Row],[Servertime]],-1,0)+1/24</f>
        <v>45820.416666666351</v>
      </c>
      <c r="CA134" s="57"/>
      <c r="CB134" s="292"/>
      <c r="CC134" s="292"/>
    </row>
    <row r="135" spans="1:81" x14ac:dyDescent="0.2">
      <c r="A135" s="214">
        <f ca="1">TblConstr[[#This Row],[Land]]</f>
        <v>50</v>
      </c>
      <c r="B135" s="142"/>
      <c r="C135" s="94">
        <f ca="1">TblProd[[#This Row],[Platinum]]</f>
        <v>212993</v>
      </c>
      <c r="D135" s="94">
        <f ca="1">TblProd[[#This Row],[Lumber]]</f>
        <v>77213</v>
      </c>
      <c r="E135" s="94">
        <f ca="1">TblProd[[#This Row],[Ore]]</f>
        <v>0</v>
      </c>
      <c r="F135" s="94">
        <f ca="1">TblProd[[#This Row],[Gems]]</f>
        <v>0</v>
      </c>
      <c r="G135" s="154"/>
      <c r="H135" s="94">
        <f ca="1">TblMili[[#This Row],[Draftees]]</f>
        <v>639</v>
      </c>
      <c r="I135" s="180">
        <f ca="1">TblPop[[#This Row],[Employment]]</f>
        <v>1</v>
      </c>
      <c r="J135" s="180">
        <f ca="1">TblPop[[#This Row],[Total]]/TblPop[[#This Row],[Net max]]</f>
        <v>1</v>
      </c>
      <c r="K135" s="283">
        <f>TblRezone[[#This Row],[Hour]]</f>
        <v>132</v>
      </c>
      <c r="L135" s="284">
        <f ca="1">TblImps[[#This Row],[Real time]]</f>
        <v>45820.458333333016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45820.458333333016</v>
      </c>
      <c r="BZ135" s="294">
        <f ca="1">OFFSET(TblImps[[#This Row],[Servertime]],-1,0)+1/24</f>
        <v>45820.458333333016</v>
      </c>
      <c r="CA135" s="57"/>
      <c r="CB135" s="292"/>
      <c r="CC135" s="292"/>
    </row>
    <row r="136" spans="1:81" x14ac:dyDescent="0.2">
      <c r="A136" s="214">
        <f ca="1">TblConstr[[#This Row],[Land]]</f>
        <v>50</v>
      </c>
      <c r="B136" s="142"/>
      <c r="C136" s="94">
        <f ca="1">TblProd[[#This Row],[Platinum]]</f>
        <v>213344</v>
      </c>
      <c r="D136" s="94">
        <f ca="1">TblProd[[#This Row],[Lumber]]</f>
        <v>77441</v>
      </c>
      <c r="E136" s="94">
        <f ca="1">TblProd[[#This Row],[Ore]]</f>
        <v>0</v>
      </c>
      <c r="F136" s="94">
        <f ca="1">TblProd[[#This Row],[Gems]]</f>
        <v>0</v>
      </c>
      <c r="G136" s="154"/>
      <c r="H136" s="94">
        <f ca="1">TblMili[[#This Row],[Draftees]]</f>
        <v>640</v>
      </c>
      <c r="I136" s="180">
        <f ca="1">TblPop[[#This Row],[Employment]]</f>
        <v>0</v>
      </c>
      <c r="J136" s="180">
        <f ca="1">TblPop[[#This Row],[Total]]/TblPop[[#This Row],[Net max]]</f>
        <v>1</v>
      </c>
      <c r="K136" s="283">
        <f>TblRezone[[#This Row],[Hour]]</f>
        <v>133</v>
      </c>
      <c r="L136" s="284">
        <f ca="1">TblImps[[#This Row],[Real time]]</f>
        <v>45820.49999999968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45820.49999999968</v>
      </c>
      <c r="BZ136" s="294">
        <f ca="1">OFFSET(TblImps[[#This Row],[Servertime]],-1,0)+1/24</f>
        <v>45820.49999999968</v>
      </c>
      <c r="CA136" s="57"/>
      <c r="CB136" s="292"/>
      <c r="CC136" s="292"/>
    </row>
    <row r="1269" spans="2:23" x14ac:dyDescent="0.2">
      <c r="B1269" s="531" t="s">
        <v>314</v>
      </c>
      <c r="C1269" s="487"/>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$K4=49</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zoomScale="70" zoomScaleNormal="70" workbookViewId="0">
      <selection activeCell="A26" sqref="A26"/>
    </sheetView>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HLOOKUP(1,E33:J37,2)</f>
        <v>1300</v>
      </c>
      <c r="D33" s="45" t="s">
        <v>434</v>
      </c>
      <c r="E33" s="45">
        <v>1</v>
      </c>
      <c r="F33" s="45">
        <v>2</v>
      </c>
      <c r="G33" s="45">
        <v>3</v>
      </c>
      <c r="H33" s="45">
        <v>4</v>
      </c>
      <c r="I33" s="45">
        <v>5</v>
      </c>
      <c r="J33" s="45">
        <v>6</v>
      </c>
      <c r="L33" s="45" t="s">
        <v>383</v>
      </c>
      <c r="M33" s="156">
        <v>0.1</v>
      </c>
      <c r="N33" s="45" t="s">
        <v>394</v>
      </c>
    </row>
    <row r="34" spans="1:16" x14ac:dyDescent="0.2">
      <c r="A34" s="303" t="s">
        <v>24</v>
      </c>
      <c r="B34" s="45">
        <v>300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120000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IF(OR(Overview!$B$14="Halfling",Overview!$B$14="Dwarf",Overview!$B$14="Gnome"),10,IF(race="Nomad",25,5))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91"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A88" s="303" t="s">
        <v>424</v>
      </c>
      <c r="B88" s="45">
        <v>5</v>
      </c>
      <c r="C88" s="45" t="str">
        <f t="shared" si="0"/>
        <v>* Landsize</v>
      </c>
      <c r="D88" s="156"/>
      <c r="F88" s="118">
        <v>0.05</v>
      </c>
      <c r="G88" s="45" t="s">
        <v>31</v>
      </c>
      <c r="L88" s="45" t="s">
        <v>564</v>
      </c>
      <c r="M88" s="407">
        <v>-2.5000000000000001E-2</v>
      </c>
      <c r="N88" s="45" t="s">
        <v>641</v>
      </c>
      <c r="S88" s="108" t="s">
        <v>697</v>
      </c>
      <c r="T88" s="108"/>
      <c r="U88" s="157"/>
    </row>
    <row r="89" spans="1:23" x14ac:dyDescent="0.2">
      <c r="A89" s="303" t="s">
        <v>1069</v>
      </c>
      <c r="B89" s="45">
        <v>5</v>
      </c>
      <c r="C89" s="45" t="str">
        <f t="shared" si="0"/>
        <v>* Landsize</v>
      </c>
      <c r="D89" s="118">
        <v>0.01</v>
      </c>
      <c r="E89" s="45" t="s">
        <v>357</v>
      </c>
      <c r="F89" s="156">
        <v>0.1</v>
      </c>
      <c r="G89" s="45" t="s">
        <v>1071</v>
      </c>
      <c r="M89"/>
      <c r="S89" s="108"/>
      <c r="T89" s="108"/>
    </row>
    <row r="90" spans="1:23" x14ac:dyDescent="0.2">
      <c r="A90" s="303" t="s">
        <v>1076</v>
      </c>
      <c r="B90" s="45">
        <v>5</v>
      </c>
      <c r="C90" s="45" t="str">
        <f t="shared" si="0"/>
        <v>* Landsize</v>
      </c>
      <c r="F90" s="156">
        <v>0.15</v>
      </c>
      <c r="G90" s="45" t="s">
        <v>106</v>
      </c>
      <c r="L90" s="45" t="s">
        <v>566</v>
      </c>
      <c r="M90" s="2">
        <v>0.05</v>
      </c>
      <c r="N90" s="45" t="s">
        <v>644</v>
      </c>
      <c r="S90" s="108" t="s">
        <v>698</v>
      </c>
      <c r="T90" s="108"/>
    </row>
    <row r="91" spans="1:23" x14ac:dyDescent="0.2">
      <c r="A91" s="303" t="s">
        <v>1136</v>
      </c>
      <c r="B91" s="45">
        <v>5</v>
      </c>
      <c r="C91" s="45" t="str">
        <f t="shared" si="0"/>
        <v>* Landsize</v>
      </c>
      <c r="F91" s="156">
        <v>-0.05</v>
      </c>
      <c r="G91" s="45" t="s">
        <v>106</v>
      </c>
      <c r="L91" s="45" t="s">
        <v>568</v>
      </c>
      <c r="M91" s="407">
        <v>2.5000000000000001E-2</v>
      </c>
      <c r="N91" s="45" t="s">
        <v>646</v>
      </c>
      <c r="S91" s="108" t="s">
        <v>699</v>
      </c>
      <c r="T91" s="108"/>
      <c r="U91" s="157"/>
    </row>
    <row r="92" spans="1:23" x14ac:dyDescent="0.2">
      <c r="F92" s="156">
        <v>0.05</v>
      </c>
      <c r="G92" s="45" t="s">
        <v>1138</v>
      </c>
      <c r="L92" s="45" t="s">
        <v>570</v>
      </c>
      <c r="M92" s="407">
        <v>7.4999999999999997E-2</v>
      </c>
      <c r="N92" s="45" t="s">
        <v>647</v>
      </c>
      <c r="O92" s="118">
        <v>0.25</v>
      </c>
      <c r="P92" s="45" t="s">
        <v>648</v>
      </c>
      <c r="S92" s="108" t="s">
        <v>700</v>
      </c>
      <c r="T92" s="108"/>
      <c r="U92" s="157"/>
      <c r="W92" s="156"/>
    </row>
    <row r="93" spans="1:23" x14ac:dyDescent="0.2">
      <c r="F93" s="45">
        <v>0.75</v>
      </c>
      <c r="G93" s="45" t="s">
        <v>1139</v>
      </c>
      <c r="L93" s="45" t="s">
        <v>571</v>
      </c>
      <c r="M93" s="407">
        <v>0.1</v>
      </c>
      <c r="N93" s="45" t="s">
        <v>631</v>
      </c>
      <c r="O93" s="156">
        <v>0.05</v>
      </c>
      <c r="P93" s="45" t="s">
        <v>649</v>
      </c>
      <c r="S93" s="108" t="s">
        <v>701</v>
      </c>
      <c r="T93" s="108"/>
      <c r="U93" s="157"/>
      <c r="W93" s="156"/>
    </row>
    <row r="94" spans="1:23" x14ac:dyDescent="0.2">
      <c r="L94" s="45" t="s">
        <v>572</v>
      </c>
      <c r="M94" s="407">
        <v>-1.7500000000000002E-2</v>
      </c>
      <c r="N94" s="45" t="s">
        <v>634</v>
      </c>
      <c r="S94" s="108" t="s">
        <v>683</v>
      </c>
      <c r="T94" s="108"/>
    </row>
    <row r="95" spans="1:23" x14ac:dyDescent="0.2">
      <c r="A95" s="302" t="s">
        <v>82</v>
      </c>
      <c r="L95" s="45" t="s">
        <v>573</v>
      </c>
      <c r="M95" s="407">
        <v>1.4999999999999999E-2</v>
      </c>
      <c r="N95" s="45" t="s">
        <v>645</v>
      </c>
      <c r="S95" s="108" t="s">
        <v>694</v>
      </c>
      <c r="T95" s="108"/>
      <c r="U95" s="156"/>
    </row>
    <row r="96" spans="1:23" x14ac:dyDescent="0.2">
      <c r="A96" s="303" t="s">
        <v>267</v>
      </c>
      <c r="B96" s="45">
        <f>30 + IF(race="Kobold",10,0) + IF(race="Nox",5,0) + IF(race="Undead",20,0)</f>
        <v>30</v>
      </c>
      <c r="C96" s="45" t="s">
        <v>239</v>
      </c>
      <c r="L96" s="45" t="s">
        <v>574</v>
      </c>
      <c r="M96" s="165">
        <f>-7.5%/explore_tech_divisor</f>
        <v>-7.4999999999999997E-2</v>
      </c>
      <c r="N96" s="45" t="s">
        <v>635</v>
      </c>
      <c r="O96" s="45">
        <v>-2</v>
      </c>
      <c r="P96" s="45" t="s">
        <v>666</v>
      </c>
      <c r="S96" s="108" t="s">
        <v>702</v>
      </c>
      <c r="T96" s="108"/>
      <c r="U96" s="157"/>
    </row>
    <row r="97" spans="1:23" x14ac:dyDescent="0.2">
      <c r="L97" s="45" t="s">
        <v>575</v>
      </c>
      <c r="M97" s="2">
        <v>0.15</v>
      </c>
      <c r="N97" s="45" t="s">
        <v>1123</v>
      </c>
      <c r="S97" s="108" t="s">
        <v>1121</v>
      </c>
      <c r="T97" s="108"/>
      <c r="U97" s="156"/>
    </row>
    <row r="98" spans="1:23" x14ac:dyDescent="0.2">
      <c r="A98" s="302" t="s">
        <v>350</v>
      </c>
      <c r="L98" s="45" t="s">
        <v>576</v>
      </c>
      <c r="M98" s="2">
        <v>-0.1</v>
      </c>
      <c r="N98" s="45" t="s">
        <v>638</v>
      </c>
      <c r="S98" s="108" t="s">
        <v>687</v>
      </c>
      <c r="T98" s="108"/>
      <c r="U98" s="156"/>
      <c r="W98" s="156"/>
    </row>
    <row r="99" spans="1:23" x14ac:dyDescent="0.2">
      <c r="A99" s="303" t="s">
        <v>502</v>
      </c>
      <c r="B99" s="45">
        <v>250</v>
      </c>
      <c r="M99"/>
      <c r="S99" s="108"/>
      <c r="T99" s="108"/>
    </row>
    <row r="100" spans="1:23" x14ac:dyDescent="0.2">
      <c r="A100" s="303" t="s">
        <v>503</v>
      </c>
      <c r="B100" s="156">
        <v>0.01</v>
      </c>
      <c r="L100" s="45" t="s">
        <v>578</v>
      </c>
      <c r="M100" s="407">
        <v>0.125</v>
      </c>
      <c r="N100" s="45" t="s">
        <v>651</v>
      </c>
      <c r="S100" s="108" t="s">
        <v>704</v>
      </c>
      <c r="T100" s="108"/>
      <c r="U100" s="157"/>
    </row>
    <row r="101" spans="1:23" x14ac:dyDescent="0.2">
      <c r="A101" s="303" t="s">
        <v>504</v>
      </c>
      <c r="B101" s="156">
        <v>0.01</v>
      </c>
      <c r="L101" s="45" t="s">
        <v>579</v>
      </c>
      <c r="M101"/>
      <c r="N101" s="45" t="s">
        <v>626</v>
      </c>
      <c r="S101" s="108" t="s">
        <v>705</v>
      </c>
      <c r="T101" s="108"/>
    </row>
    <row r="102" spans="1:23" x14ac:dyDescent="0.2">
      <c r="A102" s="303" t="s">
        <v>505</v>
      </c>
      <c r="B102" s="156">
        <v>0.01</v>
      </c>
      <c r="L102" s="45" t="s">
        <v>580</v>
      </c>
      <c r="M102" s="407">
        <v>2.5000000000000001E-2</v>
      </c>
      <c r="N102" s="45" t="s">
        <v>646</v>
      </c>
      <c r="O102" s="157">
        <v>7.4999999999999997E-2</v>
      </c>
      <c r="P102" s="45" t="s">
        <v>644</v>
      </c>
      <c r="S102" s="108" t="s">
        <v>706</v>
      </c>
      <c r="T102" s="108"/>
      <c r="U102" s="157"/>
      <c r="W102" s="157"/>
    </row>
    <row r="103" spans="1:23" x14ac:dyDescent="0.2">
      <c r="L103" s="45" t="s">
        <v>581</v>
      </c>
      <c r="M103" s="2">
        <v>0.04</v>
      </c>
      <c r="N103" s="45" t="s">
        <v>633</v>
      </c>
      <c r="S103" s="108" t="s">
        <v>707</v>
      </c>
      <c r="T103" s="108"/>
      <c r="U103" s="156"/>
    </row>
    <row r="104" spans="1:23" x14ac:dyDescent="0.2">
      <c r="A104" s="302" t="s">
        <v>455</v>
      </c>
      <c r="L104" s="45" t="s">
        <v>582</v>
      </c>
      <c r="M104">
        <v>2</v>
      </c>
      <c r="N104" s="45" t="s">
        <v>1086</v>
      </c>
      <c r="S104" s="108" t="s">
        <v>1053</v>
      </c>
      <c r="T104" s="108"/>
      <c r="U104" s="156"/>
    </row>
    <row r="105" spans="1:23" x14ac:dyDescent="0.2">
      <c r="L105" s="45" t="s">
        <v>583</v>
      </c>
      <c r="M105" s="407">
        <v>-0.1</v>
      </c>
      <c r="N105" s="45" t="s">
        <v>641</v>
      </c>
      <c r="S105" s="108" t="s">
        <v>709</v>
      </c>
      <c r="T105" s="108"/>
      <c r="U105" s="156"/>
    </row>
    <row r="106" spans="1:23" x14ac:dyDescent="0.2">
      <c r="A106" s="303" t="s">
        <v>456</v>
      </c>
      <c r="B106" s="45" t="s">
        <v>210</v>
      </c>
      <c r="D106" s="316">
        <v>0.3</v>
      </c>
      <c r="E106" s="45" t="s">
        <v>435</v>
      </c>
      <c r="L106" s="45" t="s">
        <v>585</v>
      </c>
      <c r="M106">
        <v>-1</v>
      </c>
      <c r="N106" s="45" t="s">
        <v>750</v>
      </c>
      <c r="S106" s="108" t="s">
        <v>1055</v>
      </c>
      <c r="T106" s="108"/>
      <c r="U106" s="157"/>
    </row>
    <row r="107" spans="1:23" x14ac:dyDescent="0.2">
      <c r="B107" s="45" t="s">
        <v>208</v>
      </c>
      <c r="D107" s="316">
        <v>0.2</v>
      </c>
      <c r="E107" s="45" t="s">
        <v>435</v>
      </c>
      <c r="L107" s="45" t="s">
        <v>586</v>
      </c>
      <c r="M107" s="2">
        <v>-0.2</v>
      </c>
      <c r="N107" s="45" t="s">
        <v>652</v>
      </c>
      <c r="S107" s="108" t="s">
        <v>708</v>
      </c>
      <c r="T107" s="108"/>
    </row>
    <row r="108" spans="1:23" x14ac:dyDescent="0.2">
      <c r="B108" s="45" t="s">
        <v>457</v>
      </c>
      <c r="D108" s="316">
        <v>0.3</v>
      </c>
      <c r="E108" s="45" t="s">
        <v>435</v>
      </c>
      <c r="M108"/>
    </row>
    <row r="109" spans="1:23" x14ac:dyDescent="0.2">
      <c r="B109" s="45" t="s">
        <v>458</v>
      </c>
      <c r="D109" s="316">
        <v>0.6</v>
      </c>
      <c r="E109" s="45" t="s">
        <v>435</v>
      </c>
      <c r="L109" s="45" t="s">
        <v>587</v>
      </c>
      <c r="M109" s="407">
        <v>2.5000000000000001E-2</v>
      </c>
      <c r="N109" s="45" t="s">
        <v>1059</v>
      </c>
      <c r="O109" s="45" t="s">
        <v>654</v>
      </c>
      <c r="S109" s="108" t="s">
        <v>712</v>
      </c>
      <c r="T109" s="108"/>
      <c r="U109" s="156"/>
      <c r="W109" s="156"/>
    </row>
    <row r="110" spans="1:23" x14ac:dyDescent="0.2">
      <c r="L110" s="45" t="s">
        <v>588</v>
      </c>
      <c r="M110" s="2">
        <v>-0.2</v>
      </c>
      <c r="N110" s="45" t="s">
        <v>670</v>
      </c>
      <c r="O110" s="156">
        <v>-0.2</v>
      </c>
      <c r="P110" s="45" t="s">
        <v>653</v>
      </c>
      <c r="Q110" s="5"/>
      <c r="R110" s="5"/>
      <c r="S110" s="108" t="s">
        <v>711</v>
      </c>
      <c r="T110" s="108"/>
    </row>
    <row r="111" spans="1:23" x14ac:dyDescent="0.2">
      <c r="A111" s="303" t="s">
        <v>459</v>
      </c>
      <c r="B111" s="45" t="s">
        <v>210</v>
      </c>
      <c r="D111" s="45">
        <v>4000</v>
      </c>
      <c r="E111" s="45" t="s">
        <v>506</v>
      </c>
      <c r="L111" s="45" t="s">
        <v>589</v>
      </c>
      <c r="M111" s="407">
        <v>-1.7500000000000002E-2</v>
      </c>
      <c r="N111" s="45" t="s">
        <v>634</v>
      </c>
      <c r="S111" s="108" t="s">
        <v>713</v>
      </c>
      <c r="T111" s="108"/>
      <c r="U111" s="156"/>
    </row>
    <row r="112" spans="1:23" x14ac:dyDescent="0.2">
      <c r="B112" s="45" t="s">
        <v>208</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457</v>
      </c>
      <c r="D113" s="45">
        <v>7500</v>
      </c>
      <c r="E113" s="45" t="s">
        <v>506</v>
      </c>
      <c r="L113" s="45" t="s">
        <v>591</v>
      </c>
      <c r="M113" s="407">
        <v>-1.7500000000000002E-2</v>
      </c>
      <c r="N113" s="45" t="s">
        <v>634</v>
      </c>
      <c r="S113" s="108" t="s">
        <v>715</v>
      </c>
      <c r="T113" s="108"/>
      <c r="U113" s="156"/>
    </row>
    <row r="114" spans="1:23" x14ac:dyDescent="0.2">
      <c r="B114" s="45" t="s">
        <v>526</v>
      </c>
      <c r="D114" s="45">
        <v>5000</v>
      </c>
      <c r="E114" s="45" t="s">
        <v>506</v>
      </c>
      <c r="L114" s="45" t="s">
        <v>592</v>
      </c>
      <c r="M114">
        <v>1</v>
      </c>
      <c r="N114" s="45" t="s">
        <v>668</v>
      </c>
      <c r="S114" s="108" t="s">
        <v>392</v>
      </c>
      <c r="T114" s="108"/>
      <c r="U114" s="156"/>
      <c r="W114" s="156"/>
    </row>
    <row r="115" spans="1:23" x14ac:dyDescent="0.2">
      <c r="B115" s="45" t="s">
        <v>211</v>
      </c>
      <c r="D115" s="45">
        <v>5000</v>
      </c>
      <c r="E115" s="45" t="s">
        <v>506</v>
      </c>
      <c r="L115" s="45" t="s">
        <v>593</v>
      </c>
      <c r="M115" s="2">
        <v>-0.01</v>
      </c>
      <c r="N115" s="45" t="s">
        <v>656</v>
      </c>
      <c r="S115" s="108" t="s">
        <v>717</v>
      </c>
      <c r="T115" s="108"/>
      <c r="U115" s="156"/>
    </row>
    <row r="116" spans="1:23" x14ac:dyDescent="0.2">
      <c r="T116" s="108"/>
    </row>
    <row r="117" spans="1:23" x14ac:dyDescent="0.2">
      <c r="A117" s="302" t="s">
        <v>460</v>
      </c>
      <c r="F117" s="45" t="s">
        <v>462</v>
      </c>
      <c r="L117" s="45" t="s">
        <v>594</v>
      </c>
      <c r="M117" s="29">
        <v>1.4999999999999999E-2</v>
      </c>
      <c r="N117" s="45" t="s">
        <v>645</v>
      </c>
      <c r="S117" s="108" t="s">
        <v>718</v>
      </c>
      <c r="T117" s="108"/>
      <c r="U117" s="157"/>
    </row>
    <row r="118" spans="1:23" x14ac:dyDescent="0.2">
      <c r="A118" s="303" t="s">
        <v>1129</v>
      </c>
      <c r="B118" s="238"/>
      <c r="C118" s="319">
        <v>0.2</v>
      </c>
      <c r="D118" s="45" t="s">
        <v>466</v>
      </c>
      <c r="F118" s="177">
        <v>2</v>
      </c>
      <c r="L118" s="45" t="s">
        <v>595</v>
      </c>
      <c r="M118" s="407">
        <v>2.5000000000000001E-2</v>
      </c>
      <c r="N118" s="45" t="s">
        <v>646</v>
      </c>
      <c r="O118" s="156">
        <v>-0.05</v>
      </c>
      <c r="P118" s="45" t="s">
        <v>657</v>
      </c>
      <c r="S118" s="108" t="s">
        <v>719</v>
      </c>
      <c r="T118" s="108"/>
      <c r="U118" s="157"/>
      <c r="W118" s="156"/>
    </row>
    <row r="119" spans="1:23" x14ac:dyDescent="0.2">
      <c r="A119" s="303" t="s">
        <v>125</v>
      </c>
      <c r="B119" s="116" t="s">
        <v>292</v>
      </c>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B120" s="45" t="s">
        <v>291</v>
      </c>
      <c r="C120" s="118">
        <v>0.2</v>
      </c>
      <c r="D120" s="45" t="s">
        <v>466</v>
      </c>
      <c r="F120" s="177">
        <v>2</v>
      </c>
      <c r="L120" s="45" t="s">
        <v>598</v>
      </c>
      <c r="M120" s="407">
        <v>-0.125</v>
      </c>
      <c r="N120" s="45" t="s">
        <v>658</v>
      </c>
      <c r="S120" s="108" t="s">
        <v>720</v>
      </c>
      <c r="T120" s="108"/>
      <c r="U120" s="157"/>
    </row>
    <row r="121" spans="1:23" x14ac:dyDescent="0.2">
      <c r="A121" s="303" t="s">
        <v>139</v>
      </c>
      <c r="B121" s="238"/>
      <c r="C121" s="319">
        <v>0.2</v>
      </c>
      <c r="D121" s="45" t="s">
        <v>466</v>
      </c>
      <c r="F121" s="177">
        <v>4</v>
      </c>
      <c r="L121" s="45" t="s">
        <v>600</v>
      </c>
      <c r="M121" s="407">
        <v>0.01</v>
      </c>
      <c r="N121" s="45" t="s">
        <v>645</v>
      </c>
      <c r="O121" s="5"/>
      <c r="P121" s="5"/>
      <c r="S121" s="108" t="s">
        <v>716</v>
      </c>
      <c r="T121" s="108"/>
      <c r="U121" s="156"/>
    </row>
    <row r="122" spans="1:23" x14ac:dyDescent="0.2">
      <c r="A122" s="303" t="s">
        <v>132</v>
      </c>
      <c r="B122" s="238"/>
      <c r="C122" s="319">
        <v>0.2</v>
      </c>
      <c r="D122" s="45" t="s">
        <v>467</v>
      </c>
      <c r="F122" s="177">
        <v>2</v>
      </c>
      <c r="L122" s="45" t="s">
        <v>601</v>
      </c>
      <c r="M122" s="29">
        <v>7.4999999999999997E-2</v>
      </c>
      <c r="N122" s="45" t="s">
        <v>671</v>
      </c>
      <c r="O122" s="156">
        <v>-0.05</v>
      </c>
      <c r="P122" s="45" t="s">
        <v>659</v>
      </c>
      <c r="S122" s="108" t="s">
        <v>722</v>
      </c>
      <c r="T122" s="108"/>
      <c r="U122" s="156"/>
      <c r="W122" s="156"/>
    </row>
    <row r="123" spans="1:23" x14ac:dyDescent="0.2">
      <c r="A123" s="303" t="s">
        <v>1064</v>
      </c>
      <c r="B123" s="116" t="s">
        <v>292</v>
      </c>
      <c r="C123" s="319">
        <v>0.1</v>
      </c>
      <c r="D123" s="45" t="s">
        <v>295</v>
      </c>
      <c r="F123" s="177">
        <v>0</v>
      </c>
      <c r="M123"/>
      <c r="S123" s="108"/>
      <c r="T123" s="108"/>
    </row>
    <row r="124" spans="1:23" x14ac:dyDescent="0.2">
      <c r="B124" s="45" t="s">
        <v>291</v>
      </c>
      <c r="C124" s="320">
        <v>0.1</v>
      </c>
      <c r="D124" s="45" t="s">
        <v>295</v>
      </c>
      <c r="F124" s="177">
        <v>0</v>
      </c>
      <c r="L124" s="45" t="s">
        <v>602</v>
      </c>
      <c r="M124" s="2">
        <v>0.3</v>
      </c>
      <c r="N124" s="45" t="s">
        <v>660</v>
      </c>
      <c r="S124" s="108" t="s">
        <v>723</v>
      </c>
      <c r="T124" s="108"/>
      <c r="U124" s="156"/>
    </row>
    <row r="125" spans="1:23" x14ac:dyDescent="0.2">
      <c r="A125" s="303" t="s">
        <v>461</v>
      </c>
      <c r="B125" s="238"/>
      <c r="C125" s="319">
        <v>0.2</v>
      </c>
      <c r="D125" s="45" t="s">
        <v>467</v>
      </c>
      <c r="F125" s="177">
        <v>3</v>
      </c>
      <c r="L125" s="45" t="s">
        <v>604</v>
      </c>
      <c r="M125">
        <v>1.25</v>
      </c>
      <c r="N125" s="45" t="s">
        <v>675</v>
      </c>
      <c r="S125" s="108" t="s">
        <v>727</v>
      </c>
      <c r="T125" s="108"/>
      <c r="U125" s="156"/>
    </row>
    <row r="126" spans="1:23" x14ac:dyDescent="0.2">
      <c r="A126" s="303" t="s">
        <v>332</v>
      </c>
      <c r="C126" s="177">
        <v>1</v>
      </c>
      <c r="D126" s="45" t="s">
        <v>463</v>
      </c>
      <c r="F126" s="177">
        <v>3</v>
      </c>
      <c r="L126" s="45" t="s">
        <v>606</v>
      </c>
      <c r="M126" s="407">
        <v>-7.4999999999999997E-2</v>
      </c>
      <c r="N126" s="45" t="s">
        <v>659</v>
      </c>
      <c r="O126" s="157">
        <v>7.4999999999999997E-3</v>
      </c>
      <c r="P126" s="45" t="s">
        <v>751</v>
      </c>
      <c r="S126" s="108" t="s">
        <v>1057</v>
      </c>
      <c r="T126" s="108"/>
      <c r="U126" s="156"/>
    </row>
    <row r="127" spans="1:23" x14ac:dyDescent="0.2">
      <c r="A127" s="303" t="s">
        <v>373</v>
      </c>
      <c r="B127" s="177" t="s">
        <v>465</v>
      </c>
      <c r="C127" s="116">
        <v>500</v>
      </c>
      <c r="D127" s="45" t="s">
        <v>464</v>
      </c>
      <c r="F127" s="177">
        <v>0</v>
      </c>
      <c r="L127" s="45" t="s">
        <v>607</v>
      </c>
      <c r="M127" s="407">
        <v>2.5000000000000001E-2</v>
      </c>
      <c r="N127" s="45" t="s">
        <v>662</v>
      </c>
      <c r="S127" s="108" t="s">
        <v>725</v>
      </c>
      <c r="T127" s="108"/>
      <c r="U127" s="157"/>
    </row>
    <row r="128" spans="1:23" x14ac:dyDescent="0.2">
      <c r="A128" s="303" t="s">
        <v>356</v>
      </c>
      <c r="B128" s="177" t="s">
        <v>465</v>
      </c>
      <c r="C128" s="116">
        <v>300</v>
      </c>
      <c r="D128" s="45" t="s">
        <v>464</v>
      </c>
      <c r="F128" s="177">
        <v>3</v>
      </c>
      <c r="L128" s="45" t="s">
        <v>608</v>
      </c>
      <c r="M128" s="407">
        <v>-2.5000000000000001E-2</v>
      </c>
      <c r="N128" s="45" t="s">
        <v>637</v>
      </c>
      <c r="O128" s="5">
        <v>2</v>
      </c>
      <c r="P128" s="5" t="s">
        <v>674</v>
      </c>
      <c r="S128" s="108" t="s">
        <v>726</v>
      </c>
      <c r="T128" s="108"/>
      <c r="U128" s="157"/>
    </row>
    <row r="129" spans="1:23" x14ac:dyDescent="0.2">
      <c r="A129" s="303" t="s">
        <v>422</v>
      </c>
      <c r="B129" s="238"/>
      <c r="C129" s="118">
        <v>0.1</v>
      </c>
      <c r="D129" s="45" t="s">
        <v>497</v>
      </c>
      <c r="F129" s="177">
        <v>4</v>
      </c>
      <c r="M129"/>
      <c r="S129" s="108"/>
      <c r="T129" s="108"/>
    </row>
    <row r="130" spans="1:23" x14ac:dyDescent="0.2">
      <c r="A130" s="303" t="s">
        <v>1141</v>
      </c>
      <c r="B130" s="45" t="s">
        <v>291</v>
      </c>
      <c r="C130" s="118">
        <v>0.1</v>
      </c>
      <c r="D130" s="45" t="s">
        <v>497</v>
      </c>
      <c r="F130" s="45">
        <v>1</v>
      </c>
      <c r="L130" s="45" t="s">
        <v>610</v>
      </c>
      <c r="M130" s="2">
        <v>0.6</v>
      </c>
      <c r="N130" s="45" t="s">
        <v>752</v>
      </c>
      <c r="S130" s="108" t="s">
        <v>1058</v>
      </c>
      <c r="T130" s="108"/>
    </row>
    <row r="131" spans="1:23" x14ac:dyDescent="0.2">
      <c r="L131" s="45" t="s">
        <v>611</v>
      </c>
      <c r="M131" s="407">
        <v>-7.4999999999999997E-2</v>
      </c>
      <c r="N131" s="45" t="s">
        <v>659</v>
      </c>
      <c r="S131" s="108" t="s">
        <v>728</v>
      </c>
      <c r="T131" s="108"/>
      <c r="U131" s="157"/>
    </row>
    <row r="132" spans="1:23" x14ac:dyDescent="0.2">
      <c r="A132" s="302" t="s">
        <v>263</v>
      </c>
      <c r="L132" s="45" t="s">
        <v>613</v>
      </c>
      <c r="M132">
        <v>2</v>
      </c>
      <c r="N132" s="45" t="s">
        <v>676</v>
      </c>
      <c r="S132" s="108" t="s">
        <v>729</v>
      </c>
      <c r="T132" s="108"/>
    </row>
    <row r="133" spans="1:23" x14ac:dyDescent="0.2">
      <c r="A133" s="303" t="s">
        <v>478</v>
      </c>
      <c r="B133" s="45">
        <v>20</v>
      </c>
      <c r="L133" s="45" t="s">
        <v>615</v>
      </c>
      <c r="M133" s="2">
        <v>0.3</v>
      </c>
      <c r="N133" s="45" t="s">
        <v>663</v>
      </c>
      <c r="S133" s="108" t="s">
        <v>730</v>
      </c>
      <c r="T133" s="108"/>
      <c r="U133" s="156"/>
    </row>
    <row r="134" spans="1:23" x14ac:dyDescent="0.2">
      <c r="A134" s="303" t="s">
        <v>476</v>
      </c>
      <c r="B134" s="45">
        <v>0</v>
      </c>
      <c r="C134" s="45" t="s">
        <v>477</v>
      </c>
      <c r="M134"/>
      <c r="S134" s="108"/>
      <c r="T134" s="108"/>
    </row>
    <row r="135" spans="1:23" x14ac:dyDescent="0.2">
      <c r="L135" s="45" t="s">
        <v>616</v>
      </c>
      <c r="M135" s="2">
        <v>-0.15</v>
      </c>
      <c r="N135" s="45" t="s">
        <v>672</v>
      </c>
      <c r="O135" s="156">
        <v>-0.05</v>
      </c>
      <c r="P135" s="45" t="s">
        <v>650</v>
      </c>
      <c r="S135" s="108" t="s">
        <v>731</v>
      </c>
      <c r="T135" s="108"/>
      <c r="U135" s="156"/>
      <c r="W135" s="156"/>
    </row>
    <row r="136" spans="1:23" x14ac:dyDescent="0.2">
      <c r="A136" s="302" t="s">
        <v>753</v>
      </c>
      <c r="L136" s="45" t="s">
        <v>618</v>
      </c>
      <c r="M136" s="407">
        <v>-0.05</v>
      </c>
      <c r="N136" s="45" t="s">
        <v>641</v>
      </c>
      <c r="S136" s="108" t="s">
        <v>732</v>
      </c>
      <c r="T136" s="108"/>
      <c r="U136" s="157"/>
    </row>
    <row r="137" spans="1:23" x14ac:dyDescent="0.2">
      <c r="A137" s="303" t="s">
        <v>89</v>
      </c>
      <c r="B137" s="45" t="s">
        <v>3</v>
      </c>
      <c r="L137" s="45" t="s">
        <v>619</v>
      </c>
      <c r="M137" s="2">
        <v>-0.25</v>
      </c>
      <c r="N137" s="45" t="s">
        <v>664</v>
      </c>
      <c r="S137" s="108" t="s">
        <v>733</v>
      </c>
      <c r="T137" s="108"/>
      <c r="U137" s="156"/>
    </row>
    <row r="138" spans="1:23" x14ac:dyDescent="0.2">
      <c r="A138" s="303" t="s">
        <v>90</v>
      </c>
      <c r="B138" s="45" t="s">
        <v>3</v>
      </c>
      <c r="M138"/>
      <c r="S138" s="108"/>
      <c r="T138" s="108"/>
    </row>
    <row r="139" spans="1:23" x14ac:dyDescent="0.2">
      <c r="A139" s="303" t="s">
        <v>91</v>
      </c>
      <c r="B139" s="45" t="s">
        <v>3</v>
      </c>
      <c r="L139" s="45" t="s">
        <v>620</v>
      </c>
      <c r="M139" s="29">
        <v>7.4999999999999997E-2</v>
      </c>
      <c r="N139" s="45" t="s">
        <v>661</v>
      </c>
      <c r="S139" s="108" t="s">
        <v>724</v>
      </c>
      <c r="T139" s="108"/>
      <c r="U139" s="157"/>
    </row>
    <row r="140" spans="1:23" x14ac:dyDescent="0.2">
      <c r="A140" s="303" t="s">
        <v>92</v>
      </c>
      <c r="B140" s="45" t="s">
        <v>12</v>
      </c>
      <c r="L140" s="45" t="s">
        <v>622</v>
      </c>
      <c r="M140" s="407">
        <v>-7.4999999999999997E-2</v>
      </c>
      <c r="N140" s="45" t="s">
        <v>658</v>
      </c>
      <c r="S140" s="108" t="s">
        <v>734</v>
      </c>
      <c r="T140" s="108"/>
      <c r="U140" s="156"/>
    </row>
    <row r="141" spans="1:23" x14ac:dyDescent="0.2">
      <c r="A141" s="303" t="s">
        <v>93</v>
      </c>
      <c r="B141" s="45" t="s">
        <v>3</v>
      </c>
      <c r="M141"/>
    </row>
    <row r="142" spans="1:23" x14ac:dyDescent="0.2">
      <c r="A142" s="303" t="s">
        <v>94</v>
      </c>
      <c r="B142" s="45" t="s">
        <v>3</v>
      </c>
      <c r="L142" s="45" t="s">
        <v>623</v>
      </c>
      <c r="M142" s="2">
        <v>-0.05</v>
      </c>
      <c r="N142" s="45" t="s">
        <v>659</v>
      </c>
      <c r="S142" s="45" t="s">
        <v>735</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1116</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1116</v>
      </c>
      <c r="B157" s="45" t="s">
        <v>12</v>
      </c>
    </row>
    <row r="158" spans="1:13" x14ac:dyDescent="0.2">
      <c r="A158" s="303" t="s">
        <v>1132</v>
      </c>
      <c r="B158" s="45" t="s">
        <v>12</v>
      </c>
    </row>
    <row r="160" spans="1:13" x14ac:dyDescent="0.2">
      <c r="A160" s="303" t="s">
        <v>1042</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1043</v>
      </c>
    </row>
    <row r="167" spans="1:5" x14ac:dyDescent="0.2">
      <c r="A167" s="303" t="s">
        <v>277</v>
      </c>
      <c r="B167" s="156">
        <v>0.75</v>
      </c>
    </row>
    <row r="169" spans="1:5" x14ac:dyDescent="0.2">
      <c r="A169" s="302" t="s">
        <v>1105</v>
      </c>
    </row>
    <row r="170" spans="1:5" x14ac:dyDescent="0.2">
      <c r="A170" s="303" t="s">
        <v>452</v>
      </c>
      <c r="B170" s="45">
        <v>0</v>
      </c>
    </row>
    <row r="172" spans="1:5" x14ac:dyDescent="0.2">
      <c r="A172" s="302" t="s">
        <v>1130</v>
      </c>
      <c r="E172" s="45" t="s">
        <v>462</v>
      </c>
    </row>
    <row r="173" spans="1:5" x14ac:dyDescent="0.2">
      <c r="A173" s="303" t="s">
        <v>1128</v>
      </c>
      <c r="B173" s="45" t="s">
        <v>7</v>
      </c>
      <c r="C173" s="319">
        <v>0.4</v>
      </c>
      <c r="D173" s="45" t="s">
        <v>466</v>
      </c>
      <c r="E173" s="45">
        <v>1</v>
      </c>
    </row>
    <row r="175" spans="1:5" x14ac:dyDescent="0.2">
      <c r="A175" s="302" t="s">
        <v>1158</v>
      </c>
      <c r="B175" s="45">
        <v>350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1075</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v>0.05</v>
      </c>
      <c r="R25" s="344">
        <v>-0.2</v>
      </c>
      <c r="S25" s="344"/>
      <c r="T25" s="343">
        <v>7.4999999999999997E-2</v>
      </c>
      <c r="U25" s="344"/>
      <c r="V25" s="344"/>
      <c r="W25" s="93"/>
      <c r="X25" s="330"/>
      <c r="Y25" s="342"/>
      <c r="Z25" s="344">
        <v>0.05</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330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550</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1102</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940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1110</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1125</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1100</v>
      </c>
      <c r="E63" s="93">
        <v>3</v>
      </c>
      <c r="F63" s="93">
        <v>3</v>
      </c>
      <c r="G63" s="93">
        <v>1350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1075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940</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1116</v>
      </c>
      <c r="B81" s="340" t="s">
        <v>30</v>
      </c>
      <c r="C81" s="346" t="s">
        <v>60</v>
      </c>
      <c r="D81" s="332" t="s">
        <v>1117</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1132</v>
      </c>
      <c r="B85" s="326" t="s">
        <v>30</v>
      </c>
      <c r="C85" s="347" t="s">
        <v>242</v>
      </c>
      <c r="D85" s="275" t="s">
        <v>1142</v>
      </c>
      <c r="E85" s="93">
        <v>3</v>
      </c>
      <c r="F85" s="93">
        <v>0</v>
      </c>
      <c r="G85" s="93">
        <v>260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1132</v>
      </c>
      <c r="B86" s="326" t="s">
        <v>30</v>
      </c>
      <c r="C86" s="347" t="s">
        <v>242</v>
      </c>
      <c r="D86" s="275" t="s">
        <v>1133</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1132</v>
      </c>
      <c r="B87" s="326" t="s">
        <v>30</v>
      </c>
      <c r="C87" s="347" t="s">
        <v>242</v>
      </c>
      <c r="D87" s="275" t="s">
        <v>1134</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1132</v>
      </c>
      <c r="B88" s="345" t="s">
        <v>30</v>
      </c>
      <c r="C88" s="348" t="s">
        <v>242</v>
      </c>
      <c r="D88" s="335" t="s">
        <v>1135</v>
      </c>
      <c r="E88" s="334">
        <v>5</v>
      </c>
      <c r="F88" s="334">
        <v>2</v>
      </c>
      <c r="G88" s="334">
        <v>860</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1116</v>
      </c>
      <c r="B117" s="275">
        <v>81</v>
      </c>
      <c r="J117" s="353"/>
      <c r="K117" s="353"/>
      <c r="L117" s="353"/>
      <c r="M117" s="353"/>
      <c r="N117" s="353"/>
      <c r="O117" s="353"/>
      <c r="P117" s="353"/>
      <c r="Q117" s="353"/>
      <c r="R117" s="353"/>
      <c r="S117" s="353"/>
      <c r="T117" s="353"/>
      <c r="U117" s="353"/>
      <c r="V117" s="353"/>
    </row>
    <row r="118" spans="1:22" ht="19.5" customHeight="1" x14ac:dyDescent="0.2">
      <c r="A118" s="275" t="s">
        <v>1132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9" t="s">
        <v>438</v>
      </c>
      <c r="I18" s="539"/>
      <c r="J18" s="539"/>
      <c r="K18" s="540"/>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2025-07-31T04:16:52Z</dcterms:modified>
</cp:coreProperties>
</file>