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F2DD98F5-F811-4ADB-894B-0E18BEDBD230}"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E72" i="4" l="1"/>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O9" i="5" l="1"/>
  <c r="AM9" i="5"/>
  <c r="AN9" i="5"/>
  <c r="J12" i="2"/>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O11" i="5" l="1"/>
  <c r="AM11" i="5"/>
  <c r="AN11" i="5"/>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R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E14" i="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R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R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R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R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O36" i="5" l="1"/>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O37" i="5" l="1"/>
  <c r="AM37" i="5"/>
  <c r="AN37" i="5"/>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R37" i="5"/>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R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R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R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O50" i="5" l="1"/>
  <c r="AM50" i="5"/>
  <c r="AN50" i="5"/>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R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AR52" i="5"/>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O53" i="5" l="1"/>
  <c r="AM53" i="5"/>
  <c r="AN53" i="5"/>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R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R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R65" i="5" s="1"/>
  <c r="AV66" i="5"/>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R66" i="5"/>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R72" i="5"/>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R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R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O86" i="5" l="1"/>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O98" i="5"/>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O116" i="5" l="1"/>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AR135" i="5"/>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AR136" i="5"/>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<sst xmlns="http://schemas.openxmlformats.org/spreadsheetml/2006/main" count="3095" uniqueCount="1165">
  <si>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</si>
  <si>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</si>
  <si>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</si>
  <si>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</si>
  <si>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</si>
  <si>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</si>
  <si>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</si>
  <si>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</si>
  <si>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</si>
  <si>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</si>
  <si>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</si>
  <si>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</si>
  <si>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</si>
  <si>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</si>
  <si>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</si>
  <si>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</si>
  <si>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</si>
  <si>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</si>
  <si>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</si>
  <si>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</si>
  <si>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</si>
  <si>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</si>
  <si>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</si>
  <si>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</si>
  <si>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</si>
  <si>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</si>
  <si>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</si>
  <si>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</si>
  <si>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</si>
  <si>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</si>
  <si>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</si>
  <si>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</si>
  <si>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</si>
  <si>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</si>
  <si>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</si>
  <si>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</si>
  <si>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</si>
  <si>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</si>
  <si>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</si>
  <si>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</si>
  <si>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</si>
  <si>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</si>
  <si>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</si>
  <si>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</si>
  <si>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</si>
  <si>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</si>
  <si>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</si>
  <si>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</si>
  <si>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</si>
  <si>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</si>
  <si>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</si>
  <si>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</si>
  <si>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</si>
  <si>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</si>
  <si>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</si>
  <si>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</si>
  <si>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</si>
  <si>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</si>
  <si>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</si>
  <si>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</si>
  <si>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</si>
  <si>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</si>
  <si>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</si>
  <si>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</si>
  <si>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</si>
  <si>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</si>
  <si>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</si>
  <si>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</si>
  <si>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</si>
  <si>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</si>
  <si>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</si>
  <si>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</si>
  <si>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</si>
  <si>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</si>
  <si>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</si>
  <si>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</si>
  <si>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</si>
  <si>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</si>
  <si>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</si>
  <si>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</si>
  <si>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</si>
  <si>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</si>
  <si>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</si>
  <si>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</si>
  <si>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</si>
  <si>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</si>
  <si>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</si>
  <si>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</si>
  <si>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</si>
  <si>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</si>
  <si>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</si>
  <si>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</si>
  <si>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</si>
  <si>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</si>
  <si>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</si>
  <si>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</si>
  <si>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</si>
  <si>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</si>
  <si>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</si>
  <si>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</si>
  <si>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</si>
  <si>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</si>
  <si>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</si>
  <si>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</si>
  <si>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</si>
  <si>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</si>
  <si>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</si>
  <si>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</si>
  <si>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</si>
  <si>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</si>
  <si>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</si>
  <si>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</si>
  <si>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</si>
  <si>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</si>
  <si>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</si>
  <si>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</si>
  <si>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</si>
  <si>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</si>
  <si>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</si>
  <si>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</si>
  <si>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</si>
  <si>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</si>
  <si>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</si>
  <si>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</si>
  <si>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</si>
  <si>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</si>
  <si>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</si>
  <si>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</si>
  <si>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</si>
  <si>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</si>
  <si>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</si>
  <si>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</si>
  <si>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</si>
  <si>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</si>
  <si>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</si>
  <si>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</si>
  <si>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</si>
  <si>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</si>
  <si>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</si>
  <si>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</si>
  <si>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</si>
  <si>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</si>
  <si>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</si>
  <si>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</si>
  <si>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</si>
  <si>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</si>
  <si>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</si>
  <si>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</si>
  <si>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</si>
  <si>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</si>
  <si>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</si>
  <si>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</si>
  <si>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</si>
  <si>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</si>
  <si>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</si>
  <si>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</si>
  <si>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</si>
  <si>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</si>
  <si>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</si>
  <si>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</si>
  <si>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</si>
  <si>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</si>
  <si>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</si>
  <si>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</si>
  <si>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</si>
  <si>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</si>
  <si>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</si>
  <si>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</si>
  <si>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</si>
  <si>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</si>
  <si>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</si>
  <si>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</si>
  <si>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</si>
  <si>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</si>
  <si>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</si>
  <si>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</si>
  <si>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</si>
  <si>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</si>
  <si>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</si>
  <si>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</si>
  <si>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</si>
  <si>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</si>
  <si>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</si>
  <si>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</si>
  <si>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</si>
  <si>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</si>
  <si>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</si>
  <si>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</si>
  <si>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</si>
  <si>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</si>
  <si>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</si>
  <si>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</si>
  <si>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</si>
  <si>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</si>
  <si>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</si>
  <si>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</si>
  <si>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</si>
  <si>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</si>
  <si>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</si>
  <si>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</si>
  <si>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</si>
  <si>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</si>
  <si>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</si>
  <si>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</si>
  <si>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</si>
  <si>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</si>
  <si>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</si>
  <si>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</si>
  <si>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</si>
  <si>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</si>
  <si>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</si>
  <si>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</si>
  <si>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</si>
  <si>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</si>
  <si>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</si>
  <si>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</si>
  <si>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</si>
  <si>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</si>
  <si>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</si>
  <si>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</si>
  <si>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</si>
  <si>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</si>
  <si>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</si>
  <si>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</si>
  <si>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</si>
  <si>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</si>
  <si>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</si>
  <si>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</si>
  <si>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</si>
  <si>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</si>
  <si>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</si>
  <si>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</si>
  <si>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</si>
  <si>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</si>
  <si>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</si>
  <si>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</si>
  <si>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</si>
  <si>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</si>
  <si>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</si>
  <si>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</si>
  <si>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</si>
  <si>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</si>
  <si>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</si>
  <si>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</si>
  <si>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</si>
  <si>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</si>
  <si>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</si>
  <si>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</si>
  <si>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</si>
  <si>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</si>
  <si>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</si>
  <si>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</si>
  <si>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</si>
  <si>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</si>
  <si>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</si>
  <si>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</si>
  <si>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</si>
  <si>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</si>
  <si>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</si>
  <si>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</si>
  <si>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</si>
  <si>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</si>
  <si>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</si>
  <si>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</si>
  <si>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</si>
  <si>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</si>
  <si>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</si>
  <si>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</si>
  <si>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</si>
  <si>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</si>
  <si>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</si>
  <si>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</si>
  <si>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</si>
  <si>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</si>
  <si>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</si>
  <si>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</si>
  <si>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</si>
  <si>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</si>
  <si>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</si>
  <si>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</si>
  <si>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</si>
  <si>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</si>
  <si>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</si>
  <si>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</si>
  <si>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</si>
  <si>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</si>
  <si>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</si>
  <si>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</si>
  <si>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</si>
  <si>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</si>
  <si>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</si>
  <si>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</si>
  <si>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</si>
  <si>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</si>
  <si>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</si>
  <si>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</si>
  <si>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</si>
  <si>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</si>
  <si>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</si>
  <si>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</si>
  <si>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</si>
  <si>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</si>
  <si>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</si>
  <si>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</si>
  <si>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</si>
  <si>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</si>
  <si>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</si>
  <si>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</si>
  <si>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</si>
  <si>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</si>
  <si>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</si>
  <si>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</si>
  <si>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</si>
  <si>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</si>
  <si>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</si>
  <si>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</si>
  <si>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</si>
  <si>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</si>
  <si>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</si>
  <si>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</si>
  <si>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</si>
  <si>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</si>
  <si>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</si>
  <si>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</si>
  <si>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</si>
  <si>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</si>
  <si>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</si>
  <si>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</si>
  <si>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</si>
  <si>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</si>
  <si>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</si>
  <si>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</si>
  <si>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</si>
  <si>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</si>
  <si>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</si>
  <si>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</si>
  <si>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</si>
  <si>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</si>
  <si>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</si>
  <si>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</si>
  <si>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</si>
  <si>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</si>
  <si>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</si>
  <si>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</si>
  <si>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</si>
  <si>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</si>
  <si>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</si>
  <si>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</si>
  <si>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</si>
  <si>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</si>
  <si>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</si>
  <si>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</si>
  <si>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</si>
  <si>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</si>
  <si>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</si>
  <si>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</si>
  <si>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</si>
  <si>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</si>
  <si>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</si>
  <si>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</si>
  <si>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</si>
  <si>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</si>
  <si>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</si>
  <si>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</si>
  <si>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</si>
  <si>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</si>
  <si>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</si>
  <si>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</si>
  <si>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</si>
  <si>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</si>
  <si>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</si>
  <si>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</si>
  <si>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</si>
  <si>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</si>
  <si>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</si>
  <si>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</si>
  <si>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</si>
  <si>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</si>
  <si>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</si>
  <si>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</si>
  <si>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</si>
  <si>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</si>
  <si>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</si>
  <si>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</si>
  <si>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</si>
  <si>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</si>
  <si>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</si>
  <si>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</si>
  <si>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</si>
  <si>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</si>
  <si>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</si>
  <si>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</si>
  <si>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</si>
  <si>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</si>
  <si>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</si>
  <si>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</si>
  <si>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</si>
  <si>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</si>
  <si>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</si>
  <si>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</si>
  <si>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</si>
  <si>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</si>
  <si>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</si>
  <si>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</si>
  <si>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</si>
  <si>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</si>
  <si>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</si>
  <si>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</si>
  <si>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</si>
  <si>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</si>
  <si>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</si>
  <si>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</si>
  <si>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</si>
  <si>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</si>
  <si>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</si>
  <si>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</si>
  <si>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</si>
  <si>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</si>
  <si>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</si>
  <si>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</si>
  <si>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</si>
  <si>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</si>
  <si>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</si>
  <si>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</si>
  <si>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</si>
  <si>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</si>
  <si>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</si>
  <si>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</si>
  <si>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</si>
  <si>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</si>
  <si>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</si>
  <si>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</si>
  <si>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</si>
  <si>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</si>
  <si>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</si>
  <si>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</si>
  <si>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</si>
  <si>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</si>
  <si>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</si>
  <si>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</si>
  <si>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</si>
  <si>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</si>
  <si>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</si>
  <si>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</si>
  <si>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</si>
  <si>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</si>
  <si>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</si>
  <si>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</si>
  <si>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</si>
  <si>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</si>
  <si>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</si>
  <si>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</si>
  <si>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</si>
  <si>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</si>
  <si>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</si>
  <si>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</si>
  <si>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</si>
  <si>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</si>
  <si>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</si>
  <si>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</si>
  <si>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</si>
  <si>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</si>
  <si>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</si>
  <si>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</si>
  <si>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</si>
  <si>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</si>
  <si>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</si>
  <si>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</si>
  <si>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</si>
  <si>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</si>
  <si>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</si>
  <si>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</si>
  <si>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</si>
  <si>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</si>
  <si>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</si>
  <si>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</si>
  <si>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</si>
  <si>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</si>
  <si>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</si>
  <si>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</si>
  <si>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</si>
  <si>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</si>
  <si>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</si>
  <si>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</si>
  <si>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</si>
  <si>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</si>
  <si>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</si>
  <si>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</si>
  <si>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</si>
  <si>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</si>
  <si>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</si>
  <si>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</si>
  <si>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</si>
  <si>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</si>
  <si>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</si>
  <si>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</si>
  <si>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</si>
  <si>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</si>
  <si>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</si>
  <si>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</si>
  <si>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</si>
  <si>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</si>
  <si>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</si>
  <si>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</si>
  <si>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</si>
  <si>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</si>
  <si>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</si>
  <si>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</si>
  <si>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</si>
  <si>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</si>
  <si>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</si>
  <si>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</si>
  <si>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</si>
  <si>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</si>
  <si>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</si>
  <si>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</si>
  <si>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</si>
  <si>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</si>
  <si>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</si>
  <si>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</si>
  <si>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</si>
  <si>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</si>
  <si>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</si>
  <si>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</si>
  <si>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</si>
  <si>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</si>
  <si>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</si>
  <si>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</si>
  <si>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</si>
  <si>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</si>
  <si>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</si>
  <si>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</si>
  <si>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</si>
  <si>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</si>
  <si>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</si>
  <si>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</si>
  <si>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</si>
  <si>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</si>
  <si>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</si>
  <si>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</si>
  <si>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</si>
  <si>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</si>
  <si>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</si>
  <si>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</si>
  <si>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</si>
  <si>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</si>
  <si>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</si>
  <si>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</si>
  <si>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</si>
  <si>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</si>
  <si>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</si>
  <si>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</si>
  <si>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</si>
  <si>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</si>
  <si>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</si>
  <si>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</si>
  <si>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</si>
  <si>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</si>
  <si>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</si>
  <si>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</si>
  <si>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</si>
  <si>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</si>
  <si>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</si>
  <si>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</si>
  <si>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</si>
  <si>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</si>
  <si>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</si>
  <si>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</si>
  <si>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</si>
  <si>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</si>
  <si>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</si>
  <si>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</si>
  <si>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</si>
  <si>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</si>
  <si>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</si>
  <si>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</si>
  <si>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</si>
  <si>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</si>
  <si>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</si>
  <si>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</si>
  <si>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</si>
  <si>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</si>
  <si>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</si>
  <si>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</si>
  <si>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</si>
  <si>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</si>
  <si>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</si>
  <si>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</si>
  <si>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</si>
  <si>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</si>
  <si>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</si>
  <si>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</si>
  <si>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</si>
  <si>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</si>
  <si>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</si>
  <si>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</si>
  <si>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</si>
  <si>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</si>
  <si>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</si>
  <si>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</si>
  <si>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</si>
  <si>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</si>
  <si>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</si>
  <si>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</si>
  <si>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</si>
  <si>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</si>
  <si>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</si>
  <si>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</si>
  <si>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</si>
  <si>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</si>
  <si>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</si>
  <si>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</si>
  <si>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</si>
  <si>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</si>
  <si>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</si>
  <si>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</si>
  <si>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</si>
  <si>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</si>
  <si>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</si>
  <si>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</si>
  <si>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</si>
  <si>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</si>
  <si>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</si>
  <si>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</si>
  <si>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</si>
  <si>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</si>
  <si>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</si>
  <si>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</si>
  <si>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</si>
  <si>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</si>
  <si>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</si>
  <si>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</si>
  <si>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</si>
  <si>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</si>
  <si>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</si>
  <si>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</si>
  <si>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</si>
  <si>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</si>
  <si>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</si>
  <si>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</si>
  <si>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</si>
  <si>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</si>
  <si>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</si>
  <si>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</si>
  <si>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</si>
  <si>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</si>
  <si>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</si>
  <si>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</si>
  <si>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</si>
  <si>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</si>
  <si>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</si>
  <si>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</si>
  <si>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</si>
  <si>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</si>
  <si>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</si>
  <si>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</si>
  <si>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</si>
  <si>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</si>
  <si>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</si>
  <si>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</si>
  <si>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</si>
  <si>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</si>
  <si>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</si>
  <si>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</si>
  <si>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</si>
  <si>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</si>
  <si>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</si>
  <si>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</si>
  <si>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</si>
  <si>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</si>
  <si>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</si>
  <si>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</si>
  <si>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</si>
  <si>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</si>
  <si>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</si>
  <si>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</si>
  <si>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</si>
  <si>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</si>
  <si>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</si>
  <si>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</si>
  <si>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</si>
  <si>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</si>
  <si>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</si>
  <si>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</si>
  <si>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</si>
  <si>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</si>
  <si>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</si>
  <si>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</si>
  <si>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</si>
  <si>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</si>
  <si>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</si>
  <si>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</si>
  <si>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</si>
  <si>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</si>
  <si>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</si>
  <si>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</si>
  <si>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</si>
  <si>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</si>
  <si>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</si>
  <si>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</si>
  <si>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</si>
  <si>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</si>
  <si>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</si>
  <si>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</si>
  <si>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</si>
  <si>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</si>
  <si>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</si>
  <si>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</si>
  <si>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</si>
  <si>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</si>
  <si>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</si>
  <si>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</si>
  <si>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</si>
  <si>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</si>
  <si>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</si>
  <si>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</si>
  <si>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</si>
  <si>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</si>
  <si>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</si>
  <si>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</si>
  <si>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</si>
  <si>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</si>
  <si>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</si>
  <si>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</si>
  <si>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</si>
  <si>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</si>
  <si>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</si>
  <si>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</si>
  <si>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</si>
  <si>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</si>
  <si>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</si>
  <si>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</si>
  <si>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</si>
  <si>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</si>
  <si>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</si>
  <si>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</si>
  <si>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</si>
  <si>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</si>
  <si>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</si>
  <si>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</si>
  <si>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</si>
  <si>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</si>
  <si>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</si>
  <si>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</si>
  <si>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</si>
  <si>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</si>
  <si>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</si>
  <si>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</si>
  <si>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</si>
  <si>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</si>
  <si>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</si>
  <si>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</si>
  <si>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</si>
  <si>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</si>
  <si>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</si>
  <si>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</si>
  <si>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</si>
  <si>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</si>
  <si>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</si>
  <si>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</si>
  <si>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</si>
  <si>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</si>
  <si>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</si>
  <si>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</si>
  <si>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</si>
  <si>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</si>
  <si>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</si>
  <si>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</si>
  <si>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</si>
  <si>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</si>
  <si>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</si>
  <si>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</si>
  <si>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</si>
  <si>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</si>
  <si>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</si>
  <si>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</si>
  <si>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</si>
  <si>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</si>
  <si>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</si>
  <si>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</si>
  <si>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</si>
  <si>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</si>
  <si>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</si>
  <si>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</si>
  <si>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</si>
  <si>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</si>
  <si>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</si>
  <si>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</si>
  <si>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</si>
  <si>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</si>
  <si>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</si>
  <si>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</si>
  <si>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</si>
  <si>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</si>
  <si>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</si>
  <si>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</si>
  <si>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</si>
  <si>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</si>
  <si>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</si>
  <si>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</si>
  <si>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</si>
  <si>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</si>
  <si>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</si>
  <si>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</si>
  <si>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</si>
  <si>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</si>
  <si>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</si>
  <si>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</si>
  <si>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</si>
  <si>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</si>
  <si>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</si>
  <si>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</si>
  <si>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</si>
  <si>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</si>
  <si>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</si>
  <si>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</si>
  <si>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</si>
  <si>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</si>
  <si>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</si>
  <si>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</si>
  <si>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</si>
  <si>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</si>
  <si>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</si>
  <si>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</si>
  <si>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</si>
  <si>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</si>
  <si>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</si>
  <si>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</si>
  <si>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</si>
  <si>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</si>
  <si>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</si>
  <si>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</si>
  <si>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</si>
  <si>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</si>
  <si>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</si>
  <si>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</si>
  <si>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</si>
  <si>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</si>
  <si>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</si>
  <si>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</si>
  <si>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</si>
  <si>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</si>
  <si>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</si>
  <si>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</si>
  <si>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</si>
  <si>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</si>
  <si>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</si>
  <si>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</si>
  <si>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</si>
  <si>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</si>
  <si>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</si>
  <si>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</si>
  <si>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</si>
  <si>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</si>
  <si>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</si>
  <si>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</si>
  <si>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</si>
  <si>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</si>
  <si>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</si>
  <si>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</si>
  <si>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</si>
  <si>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</si>
  <si>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</si>
  <si>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</si>
  <si>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</si>
  <si>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</si>
  <si>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</si>
  <si>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</si>
  <si>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</si>
  <si>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</si>
  <si>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</si>
  <si>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</si>
  <si>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</si>
  <si>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</si>
  <si>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</si>
  <si>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</si>
  <si>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</si>
  <si>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</si>
  <si>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</si>
  <si>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</si>
  <si>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</si>
  <si>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</si>
  <si>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</si>
  <si>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</si>
  <si>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</si>
  <si>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</si>
  <si>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</si>
  <si>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</si>
  <si>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</si>
  <si>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</si>
  <si>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</si>
  <si>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</si>
  <si>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</si>
  <si>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</si>
  <si>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</si>
  <si>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</si>
  <si>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</si>
  <si>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</si>
  <si>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</si>
  <si>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</si>
  <si>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</si>
  <si>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</si>
  <si>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</si>
  <si>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</si>
  <si>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</si>
  <si>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</si>
  <si>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</si>
  <si>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</si>
  <si>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</si>
  <si>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</si>
  <si>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</si>
  <si>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</si>
  <si>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</si>
  <si>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</si>
  <si>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</si>
  <si>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</si>
  <si>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</si>
  <si>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</si>
  <si>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</si>
  <si>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</si>
  <si>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</si>
  <si>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</si>
  <si>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</si>
  <si>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</si>
  <si>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</si>
  <si>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</si>
  <si>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</si>
  <si>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</si>
  <si>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</si>
  <si>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</si>
  <si>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</si>
  <si>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</si>
  <si>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</si>
  <si>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</si>
  <si>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</si>
  <si>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</si>
  <si>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</si>
  <si>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</si>
  <si>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</si>
  <si>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</si>
  <si>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</si>
  <si>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</si>
  <si>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</si>
  <si>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</si>
  <si>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</si>
  <si>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</si>
  <si>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</si>
  <si>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</si>
  <si>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</si>
  <si>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</si>
  <si>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</si>
  <si>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</si>
  <si>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</si>
  <si>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</si>
  <si>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</si>
  <si>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</si>
  <si>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</si>
  <si>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</si>
  <si>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</si>
  <si>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</si>
  <si>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</si>
  <si>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</si>
  <si>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</si>
  <si>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</si>
  <si>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</si>
  <si>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</si>
  <si>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</si>
  <si>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</si>
  <si>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</si>
  <si>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</si>
  <si>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</si>
  <si>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</si>
  <si>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</si>
  <si>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</si>
  <si>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</si>
  <si>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</si>
  <si>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</si>
  <si>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</si>
  <si>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</si>
  <si>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</si>
  <si>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</si>
  <si>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</si>
  <si>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</si>
  <si>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</si>
  <si>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</si>
  <si>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</si>
  <si>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</si>
  <si>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</si>
  <si>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</si>
  <si>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</si>
  <si>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</si>
  <si>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</si>
  <si>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</si>
  <si>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</si>
  <si>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</si>
  <si>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</si>
  <si>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</si>
  <si>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</si>
  <si>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</si>
  <si>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</si>
  <si>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</si>
  <si>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</si>
  <si>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</si>
  <si>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</si>
  <si>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</si>
  <si>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</si>
  <si>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</si>
  <si>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</si>
  <si>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</si>
  <si>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</si>
  <si>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</si>
  <si>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</si>
  <si>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</si>
  <si>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</si>
  <si>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</si>
  <si>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</si>
  <si>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</si>
  <si>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</si>
  <si>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</si>
  <si>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</si>
  <si>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</si>
  <si>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</si>
  <si>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</si>
  <si>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</si>
  <si>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</si>
  <si>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</si>
  <si>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</si>
  <si>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</si>
  <si>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</si>
  <si>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</si>
  <si>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</si>
  <si>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</si>
  <si>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</si>
  <si>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</si>
  <si>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</si>
  <si>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</si>
  <si>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</si>
  <si>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</si>
  <si>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</si>
  <si>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</si>
  <si>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</si>
  <si>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</si>
  <si>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</si>
  <si>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</si>
  <si>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</si>
  <si>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</si>
  <si>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</si>
  <si>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</si>
  <si>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</si>
  <si>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</si>
  <si>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</si>
  <si>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</si>
  <si>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</si>
  <si>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</si>
  <si>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</si>
  <si>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</si>
  <si>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</si>
  <si>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</si>
  <si>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</si>
  <si>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</si>
  <si>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</si>
  <si>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</si>
  <si>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</si>
  <si>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</si>
  <si>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</si>
  <si>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</si>
  <si>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</si>
  <si>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</si>
  <si>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</si>
  <si>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</si>
  <si>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</si>
  <si>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</si>
  <si>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</si>
  <si>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</si>
  <si>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</si>
  <si>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</si>
  <si>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</si>
  <si>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</si>
  <si>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</si>
  <si>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</si>
  <si>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</si>
  <si>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</si>
  <si>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</si>
  <si>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</si>
  <si>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</si>
  <si>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</si>
  <si>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</si>
  <si>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</si>
  <si>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</si>
  <si>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</si>
  <si>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</si>
  <si>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</si>
  <si>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</si>
  <si>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</si>
  <si>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</si>
  <si>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</si>
  <si>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</si>
  <si>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</si>
  <si>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</si>
  <si>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</si>
  <si>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</si>
  <si>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</si>
  <si>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</si>
  <si>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</si>
  <si>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</si>
  <si>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</si>
  <si>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</si>
  <si>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</si>
  <si>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</si>
  <si>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</si>
  <si>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</si>
  <si>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</si>
  <si>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</si>
  <si>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</si>
  <si>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</si>
  <si>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</si>
  <si>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</si>
  <si>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</si>
  <si>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</si>
  <si>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</si>
  <si>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</si>
  <si>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</si>
  <si>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</si>
  <si>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</si>
  <si>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</si>
  <si>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</si>
  <si>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</si>
  <si>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</si>
  <si>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</si>
  <si>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</si>
  <si>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</si>
  <si>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</si>
  <si>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</si>
  <si>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</si>
  <si>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</si>
  <si>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</si>
  <si>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</si>
  <si>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</si>
  <si>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</si>
  <si>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</si>
  <si>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</si>
  <si>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</si>
  <si>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</si>
  <si>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</si>
  <si>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</si>
  <si>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</si>
  <si>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</si>
  <si>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</si>
  <si>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</si>
  <si>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</si>
  <si>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</si>
  <si>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</si>
  <si>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</si>
  <si>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</si>
  <si>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</si>
  <si>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</si>
  <si>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</si>
  <si>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</si>
  <si>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</si>
  <si>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</si>
  <si>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</si>
  <si>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</si>
  <si>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You have </t>
    </r>
    <r>
      <rPr>
        <b/>
        <sz val="10"/>
        <rFont val="Arial"/>
        <family val="2"/>
      </rPr>
      <t>560</t>
    </r>
    <r>
      <rPr>
        <sz val="10"/>
        <rFont val="Arial"/>
        <family val="2"/>
      </rPr>
      <t xml:space="preserve"> starting acres to construct:</t>
    </r>
  </si>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</sst>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6">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xf numFmtId="3" fontId="4" fillId="0" borderId="0" xfId="0" applyNumberFormat="1" applyFont="1" applyFill="1" applyAlignment="1">
      <alignment horizontal="center"/>
    </xf>
    <xf numFmtId="3" fontId="4" fillId="0" borderId="0" xfId="0" applyNumberFormat="1" applyFont="1" applyFill="1"/>
    <xf numFmtId="0" fontId="4" fillId="0" borderId="0" xfId="0" applyFont="1" applyFill="1"/>
    <xf numFmtId="0" fontId="4" fillId="0" borderId="0" xfId="0" applyFont="1" applyFill="1" applyAlignment="1">
      <alignment horizontal="center"/>
    </xf>
    <xf numFmtId="0" fontId="32" fillId="27" borderId="0" xfId="0" applyFont="1" applyFill="1" applyAlignment="1">
      <alignment horizontal="right"/>
    </xf>
    <xf numFmtId="9" fontId="4" fillId="0" borderId="0" xfId="0" applyNumberFormat="1" applyFont="1" applyFill="1"/>
    <xf numFmtId="0" fontId="4" fillId="0" borderId="22" xfId="0" applyFont="1" applyFill="1" applyBorder="1" applyAlignment="1">
      <alignment horizontal="center"/>
    </xf>
    <xf numFmtId="49" fontId="4" fillId="0" borderId="0" xfId="0" applyNumberFormat="1" applyFont="1" applyFill="1" applyAlignment="1">
      <alignment horizontal="center"/>
    </xf>
    <xf numFmtId="175" fontId="4" fillId="0" borderId="0" xfId="0" applyNumberFormat="1" applyFont="1" applyFill="1" applyAlignment="1">
      <alignment horizontal="center"/>
    </xf>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rgb="FF00FF00"/>
        </patternFill>
      </fill>
      <border>
        <left style="dashDot">
          <color auto="1"/>
        </left>
        <right style="dashDot">
          <color auto="1"/>
        </right>
        <top style="dashDot">
          <color auto="1"/>
        </top>
        <bottom style="dashDot">
          <color auto="1"/>
        </bottom>
        <vertical/>
        <horizontal/>
      </border>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ill>
        <patternFill>
          <bgColor rgb="FFFABF8F"/>
        </patternFill>
      </fill>
    </dxf>
    <dxf>
      <fill>
        <patternFill>
          <bgColor rgb="FFFF8080"/>
        </patternFill>
      </fill>
    </dxf>
    <dxf>
      <fill>
        <patternFill>
          <bgColor rgb="FFA6A6A6"/>
        </patternFill>
      </fill>
      <border>
        <bottom style="thin">
          <color auto="1"/>
        </bottom>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ill>
        <patternFill>
          <bgColor rgb="FFFF8080"/>
        </patternFill>
      </fill>
    </dxf>
    <dxf>
      <fill>
        <patternFill>
          <bgColor theme="5" tint="0.59996337778862885"/>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color theme="0"/>
      </font>
      <fill>
        <patternFill>
          <bgColor rgb="FFFF0000"/>
        </patternFill>
      </fill>
    </dxf>
    <dxf>
      <font>
        <condense val="0"/>
        <extend val="0"/>
        <color indexed="11"/>
      </font>
    </dxf>
    <dxf>
      <fill>
        <patternFill>
          <bgColor rgb="FFA6A6A6"/>
        </patternFill>
      </fill>
      <border>
        <bottom style="thin">
          <color auto="1"/>
        </bottom>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00FF00"/>
        </patternFill>
      </fill>
      <border>
        <left style="dashDot">
          <color auto="1"/>
        </left>
        <right style="dashDot">
          <color auto="1"/>
        </right>
        <top style="dashDot">
          <color auto="1"/>
        </top>
        <bottom style="dashDot">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rgb="FFA6A6A6"/>
        </patternFill>
      </fill>
      <border>
        <bottom style="thin">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rgb="FFA6A6A6"/>
        </patternFill>
      </fill>
      <border>
        <bottom style="thin">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37" dataDxfId="735" totalsRowDxfId="733" headerRowBorderDxfId="736" tableBorderDxfId="734">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32" totalsRowDxfId="731">
      <calculatedColumnFormula>TblRezone[[#This Row],[Hour]]</calculatedColumnFormula>
    </tableColumn>
    <tableColumn id="1" xr3:uid="{16A4A80A-781E-4E74-BC12-3B194ED2F6BF}" name="Barren" dataDxfId="730" totalsRowDxfId="729">
      <calculatedColumnFormula>SUM(TblConstr[[#This Row],[Plain]:[Water]])</calculatedColumnFormula>
    </tableColumn>
    <tableColumn id="2" xr3:uid="{F83194BF-B786-4A33-B371-25BE7289AC68}" name="Buildings" dataDxfId="728" totalsRowDxfId="727">
      <calculatedColumnFormula>SUM(TblConstr[[#This Row],[Tot Hom]:[Tot Doc]])</calculatedColumnFormula>
    </tableColumn>
    <tableColumn id="3" xr3:uid="{343846C5-19E9-4357-B5DD-B105ACEC8C2C}" name="Incoming" dataDxfId="726" totalsRowDxfId="725"/>
    <tableColumn id="4" xr3:uid="{A20911DB-7155-4794-AD46-07AAD44BDAFE}" name="." dataDxfId="724" totalsRowDxfId="723"/>
    <tableColumn id="5" xr3:uid="{279706A5-BDE6-4F21-9D4E-93DD796722CB}" name="Land" dataDxfId="722" totalsRowDxfId="721">
      <calculatedColumnFormula>TblConstr[[#This Row],[Barren]]+TblConstr[[#This Row],[Buildings]]+TblConstr[[#This Row],[Incoming]]</calculatedColumnFormula>
    </tableColumn>
    <tableColumn id="6" xr3:uid="{8D16C913-6FBB-42B5-890E-7AA3F7D780F3}" name="Plain" dataDxfId="720" totalsRowDxfId="719">
      <calculatedColumnFormula>OFFSET(TblConstr[[#This Row],[Plain]],-1,0)+TblConstr[[#This Row],[Ch_Plain]]</calculatedColumnFormula>
    </tableColumn>
    <tableColumn id="7" xr3:uid="{ECABDC59-2CFA-4924-832F-64BD947684FE}" name="Forest" dataDxfId="718" totalsRowDxfId="717">
      <calculatedColumnFormula>OFFSET(TblConstr[[#This Row],[Forest]],-1,0)+TblConstr[[#This Row],[Ch_Forest]]</calculatedColumnFormula>
    </tableColumn>
    <tableColumn id="8" xr3:uid="{AD888BC9-7B2A-431B-912B-F76B183C4BC2}" name="Mountain" dataDxfId="716" totalsRowDxfId="715">
      <calculatedColumnFormula>OFFSET(TblConstr[[#This Row],[Mountain]],-1,0)+TblConstr[[#This Row],[Ch_Mountain]]</calculatedColumnFormula>
    </tableColumn>
    <tableColumn id="9" xr3:uid="{B9F107CC-9E87-47F0-9669-7B4E32869962}" name="Hill" dataDxfId="714" totalsRowDxfId="713">
      <calculatedColumnFormula>OFFSET(TblConstr[[#This Row],[Hill]],-1,0)+TblConstr[[#This Row],[Ch_Hill]]</calculatedColumnFormula>
    </tableColumn>
    <tableColumn id="10" xr3:uid="{8067675A-D7AC-461C-B5B4-B2FDA278D46E}" name="Swamp" dataDxfId="712" totalsRowDxfId="711">
      <calculatedColumnFormula>OFFSET(TblConstr[[#This Row],[Swamp]],-1,0)+TblConstr[[#This Row],[Ch_Swamp]]</calculatedColumnFormula>
    </tableColumn>
    <tableColumn id="11" xr3:uid="{F6E4B820-D719-41FF-A537-55FE6AFBAF0E}" name="Cavern" dataDxfId="710" totalsRowDxfId="709">
      <calculatedColumnFormula>OFFSET(TblConstr[[#This Row],[Cavern]],-1,0)+TblConstr[[#This Row],[Ch_Cavern]]</calculatedColumnFormula>
    </tableColumn>
    <tableColumn id="12" xr3:uid="{54552E9E-E771-4104-87F6-20952C6A2D90}" name="Water" dataDxfId="708" totalsRowDxfId="707">
      <calculatedColumnFormula>OFFSET(TblConstr[[#This Row],[Water]],-1,0)+TblConstr[[#This Row],[Ch_Water]]</calculatedColumnFormula>
    </tableColumn>
    <tableColumn id="112" xr3:uid="{68F0FBE6-EBED-4B66-81D6-A19DB934C48D}" name="Hour  " dataDxfId="706" totalsRowDxfId="705">
      <calculatedColumnFormula>TblRezone[[#This Row],[Hour]]</calculatedColumnFormula>
    </tableColumn>
    <tableColumn id="14" xr3:uid="{6A739C2B-FED1-46DE-A6EC-2761E132E225}" name="Hom" dataDxfId="704" totalsRowDxfId="703"/>
    <tableColumn id="15" xr3:uid="{E50EB7D2-A060-4B91-920B-B3335EF23400}" name="Alc" dataDxfId="702" totalsRowDxfId="701"/>
    <tableColumn id="16" xr3:uid="{E3F8F390-578A-46F4-8079-68503504AE5A}" name="Far" dataDxfId="700" totalsRowDxfId="699"/>
    <tableColumn id="17" xr3:uid="{CC502929-3E3E-483C-AA45-1E8DC6E6F788}" name="Smi" dataDxfId="698" totalsRowDxfId="697"/>
    <tableColumn id="18" xr3:uid="{2849017C-83D2-48CF-BAFC-E8180F6B87B3}" name="Mas" dataDxfId="696" totalsRowDxfId="695"/>
    <tableColumn id="19" xr3:uid="{902080F0-045E-460C-8A94-D28082F0684A}" name="Ly" dataDxfId="694" totalsRowDxfId="693"/>
    <tableColumn id="20" xr3:uid="{74F11359-7A83-40C9-8D72-4E7342A4C5F6}" name="Hav" dataDxfId="692" totalsRowDxfId="691"/>
    <tableColumn id="21" xr3:uid="{2F4CD982-1BA1-4887-BEEF-D1CEDDFDCD98}" name="OM" dataDxfId="690" totalsRowDxfId="689"/>
    <tableColumn id="22" xr3:uid="{8FB86139-1373-407A-B799-7C5D49EF3A26}" name="GN" dataDxfId="688" totalsRowDxfId="687"/>
    <tableColumn id="23" xr3:uid="{283576BE-DC2F-4C4A-B83A-40303ED03A64}" name="Fac" dataDxfId="686" totalsRowDxfId="685"/>
    <tableColumn id="24" xr3:uid="{5CFB0CBF-3773-41F6-9B86-E1678AA28900}" name="GT" dataDxfId="684" totalsRowDxfId="683"/>
    <tableColumn id="25" xr3:uid="{19E4F682-9015-4478-9312-A3022D1FEEE9}" name="Bar" dataDxfId="682" totalsRowDxfId="681"/>
    <tableColumn id="26" xr3:uid="{013252D4-D385-4331-9170-92B5C8BB4C64}" name="Shr" dataDxfId="680" totalsRowDxfId="679"/>
    <tableColumn id="27" xr3:uid="{D4B27941-E688-419F-8B6F-B73F6CF2AB5B}" name="Tow" dataDxfId="678" totalsRowDxfId="677"/>
    <tableColumn id="28" xr3:uid="{17047BB4-364B-45DB-830B-858C7BD30B39}" name="Tem" dataDxfId="676" totalsRowDxfId="675"/>
    <tableColumn id="29" xr3:uid="{8910E8E2-8D7F-45E2-8559-CB4F40D25EB8}" name="WG" dataDxfId="674" totalsRowDxfId="673"/>
    <tableColumn id="30" xr3:uid="{BDAAD77D-88DB-4E61-9C07-44CAE4913F4B}" name="DM" dataDxfId="672" totalsRowDxfId="671"/>
    <tableColumn id="31" xr3:uid="{BFDB5F50-9A23-4E21-AEF0-8F150174C5D9}" name="Sch" dataDxfId="670" totalsRowDxfId="669"/>
    <tableColumn id="32" xr3:uid="{F4596035-B7F8-4B94-9B36-37B190EBF2F5}" name="Doc" dataDxfId="668" totalsRowDxfId="667"/>
    <tableColumn id="33" xr3:uid="{B506678F-5C96-41A2-B16E-01903002457C}" name="time" dataDxfId="666" totalsRowDxfId="665">
      <calculatedColumnFormula>TblImps[[#This Row],[Time]]</calculatedColumnFormula>
    </tableColumn>
    <tableColumn id="34" xr3:uid="{BBF9E4A7-4AD1-4256-838E-84E222A5E5B5}" name="Facs -DB" dataDxfId="664" totalsRowDxfId="663" dataCellStyle="Percent">
      <calculatedColumnFormula>MIN(25%,(TblConstr[[#This Row],[Tot Fac]]+TblConstr[[#This Row],[Dest Fac]])/(TblConstr[[#This Row],[Land]]-TblExplore[[#This Row],[Land Bonus]]*20))</calculatedColumnFormula>
    </tableColumn>
    <tableColumn id="35" xr3:uid="{CE9651FB-E7AA-4AC3-9369-D03ACA26B669}" name="Facs DB" dataDxfId="662" totalsRowDxfId="661" dataCellStyle="Percent">
      <calculatedColumnFormula>MIN(25%,(TblConstr[[#This Row],[Tot Fac]]+TblConstr[[#This Row],[Dest Fac]])/TblConstr[[#This Row],[Land]])</calculatedColumnFormula>
    </tableColumn>
    <tableColumn id="36" xr3:uid="{09991F89-DEAA-4698-A25A-D13F6565EDD4}" name="Platinum" dataDxfId="660" totalsRowDxfId="659">
      <calculatedColumnFormula>TblProd[[#This Row],[Platinum]]</calculatedColumnFormula>
    </tableColumn>
    <tableColumn id="37" xr3:uid="{98B47891-EB31-4D7F-8AC4-80255A877681}" name="Lumber" dataDxfId="658" totalsRowDxfId="657">
      <calculatedColumnFormula>TblProd[[#This Row],[Lumber]]</calculatedColumnFormula>
    </tableColumn>
    <tableColumn id="38" xr3:uid="{4BCC987F-ABDB-4939-B66E-9E39DDB56076}" name="CPA Platinum -DB" dataDxfId="656" totalsRowDxfId="655">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54" totalsRowDxfId="653">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52" totalsRowDxfId="65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50" totalsRowDxfId="649">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48" totalsRowDxfId="647">
      <calculatedColumnFormula>TblConstr[[#This Row],[build -db]]*TblConstr[[#This Row],[CPA Platinum -DB]] + TblConstr[[#This Row],[build db]]*TblConstr[[#This Row],[CPA Platinum DB]]</calculatedColumnFormula>
    </tableColumn>
    <tableColumn id="43" xr3:uid="{F2E3CBCF-A243-4043-87E8-17546293A159}" name="Total Lum Cost" dataDxfId="646" totalsRowDxfId="645">
      <calculatedColumnFormula>TblConstr[[#This Row],[build -db]]*TblConstr[[#This Row],[CPA Lumber -DB]] + TblConstr[[#This Row],[build db]]*TblConstr[[#This Row],[CPA Lumber DB]]</calculatedColumnFormula>
    </tableColumn>
    <tableColumn id="44" xr3:uid="{119F0A26-AFE5-4C99-86DF-E2019D697B1F}" name="build -db" dataDxfId="644" totalsRowDxfId="643">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42" totalsRowDxfId="641">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40" totalsRowDxfId="639"/>
    <tableColumn id="47" xr3:uid="{2AB27BA8-C2B6-44FC-89D1-B8C469C03A31}" name="RCPA Platinum " dataDxfId="638" totalsRowDxfId="637">
      <calculatedColumnFormula>ROUND((TblConstr[[#This Row],[Land]]-250 - IF(TblExplore[[#This Row],[Land Bonus]]&lt;&gt;0,20,0))*1.25 + 850 + 0,0)</calculatedColumnFormula>
    </tableColumn>
    <tableColumn id="48" xr3:uid="{745E4D31-3689-4F62-A15B-2D5399E746CA}" name="RCPA Lumber" dataDxfId="636">
      <calculatedColumnFormula>ROUND((TblConstr[[#This Row],[Land]]-250 - IF(TblExplore[[#This Row],[Land Bonus]]&lt;&gt;0,20,0))*0.285 + 87.5 + 0/4.25,0)</calculatedColumnFormula>
    </tableColumn>
    <tableColumn id="49" xr3:uid="{619C112A-EE5A-4710-AF52-5843FF4DB054}" name="…" dataDxfId="635" totalsRowDxfId="634"/>
    <tableColumn id="50" xr3:uid="{F2846ED2-FD2C-4B82-8D89-DEC4D6C89C45}" name="Tot Hom" dataDxfId="633" totalsRowDxfId="632">
      <calculatedColumnFormula array="1">IF(TblConstr[[#This Row],[Hour]:[Hour]]&gt;12,OFFSET(TblConstr[[#This Row],[Hom]],-12,0),0)+OFFSET(TblConstr[[#This Row],[Tot Hom]],-1,0)-TblConstr[[#This Row],[Dest Hom]]</calculatedColumnFormula>
    </tableColumn>
    <tableColumn id="51" xr3:uid="{3A820279-E5AD-460C-8EA2-56927C664532}" name="Tot Alc" dataDxfId="631" totalsRowDxfId="630">
      <calculatedColumnFormula array="1">IF(TblConstr[[#This Row],[Hour]:[Hour]]&gt;12,OFFSET(TblConstr[[#This Row],[Alc]],-12,0),0)+OFFSET(TblConstr[[#This Row],[Tot Alc]],-1,0)-TblConstr[[#This Row],[Dest Alc]]</calculatedColumnFormula>
    </tableColumn>
    <tableColumn id="52" xr3:uid="{2F201F1F-E604-470C-A21C-EF43882A5460}" name="Tot Farm" dataDxfId="629" totalsRowDxfId="628">
      <calculatedColumnFormula array="1">IF(TblConstr[[#This Row],[Hour]:[Hour]]&gt;12,OFFSET(TblConstr[[#This Row],[Far]],-12,0),0)+OFFSET(TblConstr[[#This Row],[Tot Farm]],-1,0)-TblConstr[[#This Row],[Dest Farm]]</calculatedColumnFormula>
    </tableColumn>
    <tableColumn id="53" xr3:uid="{CF25F1ED-4CEE-4702-9FD7-472555CAE1E7}" name="Tot Smi" dataDxfId="627" totalsRowDxfId="626">
      <calculatedColumnFormula array="1">IF(TblConstr[[#This Row],[Hour]:[Hour]]&gt;12,OFFSET(TblConstr[[#This Row],[Smi]],-12,0),0)+OFFSET(TblConstr[[#This Row],[Tot Smi]],-1,0)-TblConstr[[#This Row],[Dest Smi]]</calculatedColumnFormula>
    </tableColumn>
    <tableColumn id="54" xr3:uid="{AA2380E5-3483-49DB-91B7-F7447D6C17A7}" name="Tot Mas" dataDxfId="625" totalsRowDxfId="624">
      <calculatedColumnFormula array="1">IF(TblConstr[[#This Row],[Hour]:[Hour]]&gt;12,OFFSET(TblConstr[[#This Row],[Mas]],-12,0),0)+OFFSET(TblConstr[[#This Row],[Tot Mas]],-1,0)-TblConstr[[#This Row],[Dest Mas]]</calculatedColumnFormula>
    </tableColumn>
    <tableColumn id="55" xr3:uid="{9983477D-EC22-4053-88C9-D53436C89351}" name="Tot Ly" dataDxfId="623" totalsRowDxfId="622">
      <calculatedColumnFormula array="1">IF(TblConstr[[#This Row],[Hour]:[Hour]]&gt;12,OFFSET(TblConstr[[#This Row],[Ly]],-12,0),0)+OFFSET(TblConstr[[#This Row],[Tot Ly]],-1,0)-TblConstr[[#This Row],[Dest Ly]]</calculatedColumnFormula>
    </tableColumn>
    <tableColumn id="56" xr3:uid="{0A8A610F-D674-4772-9EB7-EC610164DF60}" name="Tot Hav" dataDxfId="621" totalsRowDxfId="620">
      <calculatedColumnFormula array="1">IF(TblConstr[[#This Row],[Hour]:[Hour]]&gt;12,OFFSET(TblConstr[[#This Row],[Hav]],-12,0),0)+OFFSET(TblConstr[[#This Row],[Tot Hav]],-1,0)-TblConstr[[#This Row],[Dest Hav]]</calculatedColumnFormula>
    </tableColumn>
    <tableColumn id="57" xr3:uid="{40570349-3AA5-42B4-9820-CC736C2D1B3D}" name="Tot OM" dataDxfId="619" totalsRowDxfId="618">
      <calculatedColumnFormula array="1">IF(TblConstr[[#This Row],[Hour]:[Hour]]&gt;12,OFFSET(TblConstr[[#This Row],[OM]],-12,0),0)+OFFSET(TblConstr[[#This Row],[Tot OM]],-1,0)-TblConstr[[#This Row],[Dest OM]]</calculatedColumnFormula>
    </tableColumn>
    <tableColumn id="58" xr3:uid="{D7C1895E-C93F-4CEE-BB20-88F13C3DA864}" name="Tot GN" dataDxfId="617" totalsRowDxfId="616">
      <calculatedColumnFormula array="1">IF(TblConstr[[#This Row],[Hour]:[Hour]]&gt;12,OFFSET(TblConstr[[#This Row],[GN]],-12,0),0)+OFFSET(TblConstr[[#This Row],[Tot GN]],-1,0)-TblConstr[[#This Row],[Dest GN]]</calculatedColumnFormula>
    </tableColumn>
    <tableColumn id="59" xr3:uid="{6C106580-CB33-4C2F-8B4D-856AC68AA85B}" name="Tot Fac" dataDxfId="615" totalsRowDxfId="614">
      <calculatedColumnFormula array="1">IF(TblConstr[[#This Row],[Hour]:[Hour]]&gt;12,OFFSET(TblConstr[[#This Row],[Fac]],-12,0),0)+OFFSET(TblConstr[[#This Row],[Tot Fac]],-1,0)-TblConstr[[#This Row],[Dest Fac]]</calculatedColumnFormula>
    </tableColumn>
    <tableColumn id="60" xr3:uid="{D3A39C76-EE6D-4C40-B64E-12EE496ACF75}" name="Tot GT" dataDxfId="613" totalsRowDxfId="612">
      <calculatedColumnFormula array="1">IF(TblConstr[[#This Row],[Hour]:[Hour]]&gt;12,OFFSET(TblConstr[[#This Row],[GT]],-12,0),0)+OFFSET(TblConstr[[#This Row],[Tot GT]],-1,0)-TblConstr[[#This Row],[Dest GT]]</calculatedColumnFormula>
    </tableColumn>
    <tableColumn id="61" xr3:uid="{3C88629E-DBB8-4626-8826-42DE21B8CCF3}" name="Tot Bar" dataDxfId="611" totalsRowDxfId="610">
      <calculatedColumnFormula array="1">IF(TblConstr[[#This Row],[Hour]:[Hour]]&gt;12,OFFSET(TblConstr[[#This Row],[Bar]],-12,0),0)+OFFSET(TblConstr[[#This Row],[Tot Bar]],-1,0)-TblConstr[[#This Row],[Dest Bar]]</calculatedColumnFormula>
    </tableColumn>
    <tableColumn id="62" xr3:uid="{9B339DEA-0599-4758-9D02-2BCE3EA7ACC3}" name="Tot Shr" dataDxfId="609" totalsRowDxfId="608">
      <calculatedColumnFormula array="1">IF(TblConstr[[#This Row],[Hour]:[Hour]]&gt;12,OFFSET(TblConstr[[#This Row],[Shr]],-12,0),0)+OFFSET(TblConstr[[#This Row],[Tot Shr]],-1,0)-TblConstr[[#This Row],[Dest Shr]]</calculatedColumnFormula>
    </tableColumn>
    <tableColumn id="63" xr3:uid="{BC8AAD30-881D-4FF0-9567-7FF1D9791913}" name="Tot Tow" dataDxfId="607" totalsRowDxfId="606">
      <calculatedColumnFormula array="1">IF(TblConstr[[#This Row],[Hour]:[Hour]]&gt;12,OFFSET(TblConstr[[#This Row],[Tow]],-12,0),0)+OFFSET(TblConstr[[#This Row],[Tot Tow]],-1,0)-TblConstr[[#This Row],[Dest Tow]]</calculatedColumnFormula>
    </tableColumn>
    <tableColumn id="64" xr3:uid="{59A3F80D-5052-4FDF-AF65-62DB182FD6A6}" name="Tot Tem" dataDxfId="605" totalsRowDxfId="604">
      <calculatedColumnFormula array="1">IF(TblConstr[[#This Row],[Hour]:[Hour]]&gt;12,OFFSET(TblConstr[[#This Row],[Tem]],-12,0),0)+OFFSET(TblConstr[[#This Row],[Tot Tem]],-1,0)-TblConstr[[#This Row],[Dest Tem]]</calculatedColumnFormula>
    </tableColumn>
    <tableColumn id="65" xr3:uid="{00A352BB-E75B-4E3F-AC3D-1D0DC0813148}" name="Tot WG" dataDxfId="603" totalsRowDxfId="602">
      <calculatedColumnFormula array="1">IF(TblConstr[[#This Row],[Hour]:[Hour]]&gt;12,OFFSET(TblConstr[[#This Row],[WG]],-12,0),0)+OFFSET(TblConstr[[#This Row],[Tot WG]],-1,0)-TblConstr[[#This Row],[Dest WG]]</calculatedColumnFormula>
    </tableColumn>
    <tableColumn id="66" xr3:uid="{AC79E3B7-8BF6-4AEF-AACC-9BCCADEEE9EC}" name="Tot DM" dataDxfId="601" totalsRowDxfId="600">
      <calculatedColumnFormula array="1">IF(TblConstr[[#This Row],[Hour]:[Hour]]&gt;12,OFFSET(TblConstr[[#This Row],[DM]],-12,0),0)+OFFSET(TblConstr[[#This Row],[Tot DM]],-1,0)-TblConstr[[#This Row],[Dest DM]]</calculatedColumnFormula>
    </tableColumn>
    <tableColumn id="67" xr3:uid="{0CFFF054-0F8D-4B14-9366-77ABD3382DE4}" name="Tot Sch" dataDxfId="599" totalsRowDxfId="598">
      <calculatedColumnFormula array="1">IF(TblConstr[[#This Row],[Hour]:[Hour]]&gt;12,OFFSET(TblConstr[[#This Row],[Sch]],-12,0),0)+OFFSET(TblConstr[[#This Row],[Tot Sch]],-1,0)-TblConstr[[#This Row],[Dest Sch]]</calculatedColumnFormula>
    </tableColumn>
    <tableColumn id="68" xr3:uid="{EEBD7864-CCF1-4E52-A4D7-93474D156483}" name="Tot Doc" dataDxfId="597" totalsRowDxfId="596">
      <calculatedColumnFormula array="1">IF(TblConstr[[#This Row],[Hour]:[Hour]]&gt;12,OFFSET(TblConstr[[#This Row],[Doc]],-12,0),0)+OFFSET(TblConstr[[#This Row],[Tot Doc]],-1,0)-TblConstr[[#This Row],[Dest Doc]]</calculatedColumnFormula>
    </tableColumn>
    <tableColumn id="69" xr3:uid="{9CB7D1EC-8231-4E29-AF89-78480EAACCBE}" name="…." dataDxfId="595" totalsRowDxfId="594"/>
    <tableColumn id="70" xr3:uid="{8AB60EC6-2503-4C64-93B5-EF0A15817646}" name="….." dataDxfId="593" totalsRowDxfId="592"/>
    <tableColumn id="71" xr3:uid="{E322C618-2AF7-4E39-8C00-05DB78D1E3E1}" name="Land (2)" dataDxfId="591" totalsRowDxfId="590">
      <calculatedColumnFormula>TblConstr[[#This Row],[Land]]</calculatedColumnFormula>
    </tableColumn>
    <tableColumn id="72" xr3:uid="{03634B5C-154E-4AC8-80E1-BA13BC9D96CD}" name="Time (2)" dataDxfId="589" totalsRowDxfId="588">
      <calculatedColumnFormula>TblImps[[#This Row],[Time]]</calculatedColumnFormula>
    </tableColumn>
    <tableColumn id="73" xr3:uid="{B2BF9056-6EBE-4C01-A8BD-B72B49E563E4}" name="…..." dataDxfId="587" totalsRowDxfId="586"/>
    <tableColumn id="74" xr3:uid="{E1DF0DF3-108E-4B1D-AD0D-B0438E0119B4}" name="Dest Hom" dataDxfId="585" totalsRowDxfId="584"/>
    <tableColumn id="75" xr3:uid="{E9A56C16-CD83-4CF4-801D-3F07F7F4410E}" name="Dest Alc" dataDxfId="583" totalsRowDxfId="582"/>
    <tableColumn id="76" xr3:uid="{83CFBDA2-FADE-4B08-B33E-9C2E9F9BF768}" name="Dest Farm" dataDxfId="581" totalsRowDxfId="580"/>
    <tableColumn id="77" xr3:uid="{19187257-0444-44F4-9D3D-6D0323F40019}" name="Dest Smi" dataDxfId="579" totalsRowDxfId="578"/>
    <tableColumn id="78" xr3:uid="{868AFE18-6FA1-48AB-ABF5-2F2AEFE5F988}" name="Dest Mas" dataDxfId="577" totalsRowDxfId="576"/>
    <tableColumn id="79" xr3:uid="{177B6B53-2F11-4209-8387-13A45749227F}" name="Dest Ly" dataDxfId="575" totalsRowDxfId="574"/>
    <tableColumn id="80" xr3:uid="{7546C506-76A9-4C40-A0E7-9A9D9E5AABE5}" name="Dest Hav" dataDxfId="573" totalsRowDxfId="572"/>
    <tableColumn id="81" xr3:uid="{ADDB86A6-E781-4DBE-8117-6F690916DDFA}" name="Dest OM" dataDxfId="571" totalsRowDxfId="570"/>
    <tableColumn id="82" xr3:uid="{B9BF98EC-18BF-465D-9531-8B38D89E91A0}" name="Dest GN" dataDxfId="569" totalsRowDxfId="568"/>
    <tableColumn id="83" xr3:uid="{E7A6D253-F3B2-42C8-99DD-B144C58FC0C5}" name="Dest Fac" dataDxfId="567" totalsRowDxfId="566"/>
    <tableColumn id="84" xr3:uid="{17104BBD-FC27-4D10-B29C-0273D3241FF4}" name="Dest GT" dataDxfId="565" totalsRowDxfId="564"/>
    <tableColumn id="85" xr3:uid="{99559D62-4D78-440A-98FE-DEBB129B435F}" name="Dest Bar" dataDxfId="563" totalsRowDxfId="562"/>
    <tableColumn id="86" xr3:uid="{9B2EEB8C-2FE8-47EE-A3E2-DC10DB45C7AB}" name="Dest Shr" dataDxfId="561" totalsRowDxfId="560"/>
    <tableColumn id="87" xr3:uid="{514D2AAA-E6E3-475E-9F65-8C732A78896D}" name="Dest Tow" dataDxfId="559" totalsRowDxfId="558"/>
    <tableColumn id="88" xr3:uid="{FAB7F148-62FD-4A01-9E52-E72AB5D98A80}" name="Dest Tem" dataDxfId="557" totalsRowDxfId="556"/>
    <tableColumn id="89" xr3:uid="{51F0AAF8-EA25-41BB-8274-29128D8E9309}" name="Dest WG" dataDxfId="555" totalsRowDxfId="554"/>
    <tableColumn id="90" xr3:uid="{B5DD0E4A-F9DA-46DF-AC1D-4C082F96D4FD}" name="Dest DM" dataDxfId="553" totalsRowDxfId="552"/>
    <tableColumn id="91" xr3:uid="{8374E536-FAFB-4695-B2E9-40E6A61A9D8E}" name="Dest Sch" dataDxfId="551" totalsRowDxfId="550"/>
    <tableColumn id="92" xr3:uid="{AB6E075B-E076-40E6-B2ED-7DBD5C2545B9}" name="Dest Doc" dataDxfId="549" totalsRowDxfId="548"/>
    <tableColumn id="93" xr3:uid="{A4B6EEF5-D4D4-4B9E-B020-F892CB1DC5F1}" name="…...." dataDxfId="547" totalsRowDxfId="546"/>
    <tableColumn id="94" xr3:uid="{A8785F66-A063-4182-BB5F-F2E489C44B8C}" name="Ch_Plain" dataDxfId="545" totalsRowDxfId="544">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43" totalsRowDxfId="542">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41" totalsRowDxfId="540">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39" totalsRowDxfId="538">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37" totalsRowDxfId="536">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35" totalsRowDxfId="534">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33" totalsRowDxfId="532">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31" totalsRowDxfId="530">
      <calculatedColumnFormula>IF(Explore!S4=1,20) - TblConstr[[#This Row],[Hom]] + TblConstr[[#This Row],[Dest Hom]]</calculatedColumnFormula>
    </tableColumn>
    <tableColumn id="102" xr3:uid="{A18B5339-7B5E-4FF1-B44C-54D91E2619B1}" name="…....." dataDxfId="529" totalsRowDxfId="528"/>
    <tableColumn id="103" xr3:uid="{4E3EEDB6-D8CB-4DA1-AC9F-29019C9A6FFC}" name="Total Plain" dataDxfId="527" totalsRowDxfId="526"/>
    <tableColumn id="104" xr3:uid="{669C7BA0-B3F2-47DA-B10D-81C2466FF6F3}" name="Total Forest" dataDxfId="525" totalsRowDxfId="524"/>
    <tableColumn id="105" xr3:uid="{B6EE778A-6E52-44FF-8691-B86F1650C2C2}" name="Total Mountain" dataDxfId="523" totalsRowDxfId="522"/>
    <tableColumn id="106" xr3:uid="{5FF89BD6-7921-4110-AD96-EA8B54555F1C}" name="Total Hill" dataDxfId="521" totalsRowDxfId="520"/>
    <tableColumn id="107" xr3:uid="{F920559E-5C73-4899-BC53-A9BA9E7DFC0C}" name="Total Swamp" dataDxfId="519" totalsRowDxfId="518"/>
    <tableColumn id="108" xr3:uid="{6462BCCF-F375-4DEC-B000-637E1187AA5E}" name="Total Cavern" dataDxfId="517" totalsRowDxfId="516"/>
    <tableColumn id="109" xr3:uid="{D966B8E0-E2CD-4374-AF05-B86C330B3BD4}" name="Total Water" dataDxfId="515" totalsRowDxfId="514"/>
    <tableColumn id="110" xr3:uid="{170A4E12-F563-448F-8964-EB5CA71BA3AF}" name="Homeland" dataDxfId="513" totalsRowDxfId="512">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11" totalsRowDxfId="510"/>
    <tableColumn id="114" xr3:uid="{EDC1B5E1-1E93-4946-BEC7-453EF5B18C9F}" name="Farms" dataDxfId="509" totalsRowDxfId="508">
      <calculatedColumnFormula>MAX(BA4-BA3,0)</calculatedColumnFormula>
    </tableColumn>
    <tableColumn id="115" xr3:uid="{1D02A65C-E8F6-4B66-A5EB-3699A9BE61C5}" name="Docks" totalsRowFunction="sum" dataDxfId="507" totalsRowDxfId="506">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5" dataDxfId="504" tableBorderDxfId="503">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02">
      <calculatedColumnFormula>TblRezone[[#This Row],[Hour]]</calculatedColumnFormula>
    </tableColumn>
    <tableColumn id="2" xr3:uid="{DFB120B6-BC70-4091-A005-99D4961CB538}" name="Land" dataDxfId="501">
      <calculatedColumnFormula>TblConstr[[#This Row],[Land]]</calculatedColumnFormula>
    </tableColumn>
    <tableColumn id="3" xr3:uid="{05C32193-1764-4A8E-B877-789E51BD1927}" name="." dataDxfId="500"/>
    <tableColumn id="4" xr3:uid="{2DBA3229-29BD-4F1F-B6CD-9E822C9071D7}" name="Plains" dataDxfId="499">
      <calculatedColumnFormula>TblConstr[[#This Row],[Plain]]</calculatedColumnFormula>
    </tableColumn>
    <tableColumn id="5" xr3:uid="{3D1FE633-D61E-4157-92AE-5E68F0C48770}" name="Forest" dataDxfId="498">
      <calculatedColumnFormula>TblConstr[[#This Row],[Forest]]</calculatedColumnFormula>
    </tableColumn>
    <tableColumn id="6" xr3:uid="{D9ABEDC6-9211-428A-B587-3CA9C3BF9744}" name="Mountn" dataDxfId="497">
      <calculatedColumnFormula>TblConstr[[#This Row],[Mountain]]</calculatedColumnFormula>
    </tableColumn>
    <tableColumn id="7" xr3:uid="{190BAA64-9D9E-4080-878D-BF035387620E}" name="Hills" dataDxfId="496">
      <calculatedColumnFormula>TblConstr[[#This Row],[Hill]]</calculatedColumnFormula>
    </tableColumn>
    <tableColumn id="8" xr3:uid="{812744CE-DEB7-4A8A-8374-CD5852E8C168}" name="Swamp" dataDxfId="495">
      <calculatedColumnFormula>TblConstr[[#This Row],[Swamp]]</calculatedColumnFormula>
    </tableColumn>
    <tableColumn id="9" xr3:uid="{96D79F63-015A-4655-975B-A1C99185A034}" name="Caverns" dataDxfId="494">
      <calculatedColumnFormula>TblConstr[[#This Row],[Cavern]]</calculatedColumnFormula>
    </tableColumn>
    <tableColumn id="10" xr3:uid="{607DA3E5-8D4A-44F4-A35C-DDAF32BE627C}" name="Water" dataDxfId="493">
      <calculatedColumnFormula>TblConstr[[#This Row],[Water]]</calculatedColumnFormula>
    </tableColumn>
    <tableColumn id="11" xr3:uid="{12EC2AC2-5FD3-4D82-8C37-DB70DCC56DC2}" name="Column2" dataDxfId="492"/>
    <tableColumn id="12" xr3:uid="{B171FE82-C8DE-44A1-89CE-409ED8DDD9D4}" name="Column3" dataDxfId="491"/>
    <tableColumn id="13" xr3:uid="{8C0085EE-E99F-4C98-9D66-144A50E3623C}" name="Column4" dataDxfId="490"/>
    <tableColumn id="14" xr3:uid="{5686D8FB-FF86-4148-AF9E-C03A97A84AF3}" name="Smithies" dataDxfId="489" dataCellStyle="Percent">
      <calculatedColumnFormula>TblMili[[#This Row],[Smithies]]</calculatedColumnFormula>
    </tableColumn>
    <tableColumn id="15" xr3:uid="{A0DC0A41-1987-4EE6-99BA-624DB6ACB9BF}" name="Employm." dataDxfId="488" dataCellStyle="Percent">
      <calculatedColumnFormula>TblPop[[#This Row],[Employment]]</calculatedColumnFormula>
    </tableColumn>
    <tableColumn id="16" xr3:uid="{7B85DEA6-C72D-4EAB-B18F-155B3A80E27B}" name="Popul." dataDxfId="487" dataCellStyle="Percent">
      <calculatedColumnFormula>TblImps[[#This Row],[Population]]</calculatedColumnFormula>
    </tableColumn>
    <tableColumn id="17" xr3:uid="{0BE33934-A790-4489-A3A2-E553E3C4AAEE}" name="Land (2)" dataDxfId="486">
      <calculatedColumnFormula>TblExplore[[#This Row],[Land]]</calculatedColumnFormula>
    </tableColumn>
    <tableColumn id="18" xr3:uid="{1EE849E8-6296-4479-BDA2-30E4622212E0}" name="Hour (2)" dataDxfId="485">
      <calculatedColumnFormula>TblExplore[[#This Row],[Hour]]</calculatedColumnFormula>
    </tableColumn>
    <tableColumn id="19" xr3:uid="{802EC67C-58E0-4E2B-9471-52B76B3F516A}" name="Land Bonus" dataDxfId="484"/>
    <tableColumn id="20" xr3:uid="{B1DC4E54-695A-4FE1-A303-67B047732E38}" name="Plains Explore" dataDxfId="483"/>
    <tableColumn id="21" xr3:uid="{28A63039-E9F4-4C91-BC61-38AFA90CBBA3}" name="Forest Explore" dataDxfId="482"/>
    <tableColumn id="22" xr3:uid="{52A3F218-67B7-4353-9DCD-90E402F80D3A}" name="Mountain Explore" dataDxfId="481"/>
    <tableColumn id="23" xr3:uid="{CADD78BB-1A84-4EF1-B568-74D7A7333BED}" name="Hill Explore" dataDxfId="480"/>
    <tableColumn id="24" xr3:uid="{86B12DCD-5E50-4631-800C-3D06D0C8407F}" name="Swamp Explore" dataDxfId="479"/>
    <tableColumn id="25" xr3:uid="{41A3F8D1-C19F-4B01-A125-BD6C5BE75F1D}" name="Cavern Explore" dataDxfId="478"/>
    <tableColumn id="26" xr3:uid="{DD83E77E-8C71-44A7-BF29-B8595544CC0D}" name="Water Explore" dataDxfId="477"/>
    <tableColumn id="27" xr3:uid="{6F68BDB2-663F-44CE-A108-1184CFBBBFB9}" name="Time" dataDxfId="476">
      <calculatedColumnFormula>TblImps[[#This Row],[Real time]]</calculatedColumnFormula>
    </tableColumn>
    <tableColumn id="28" xr3:uid="{0FBA88C1-4190-4A95-897B-20B88A072234}" name="Draftees" dataDxfId="475">
      <calculatedColumnFormula>TblMili[[#This Row],[Draftees]]</calculatedColumnFormula>
    </tableColumn>
    <tableColumn id="29" xr3:uid="{4EFD1992-02FD-4356-A327-EBEED01908DD}" name="Platinum" dataDxfId="474">
      <calculatedColumnFormula>TblProd[[#This Row],[Platinum]]</calculatedColumnFormula>
    </tableColumn>
    <tableColumn id="30" xr3:uid="{3D9A7B33-B273-4A01-8F7D-822B1BEB344B}" name=".." dataDxfId="473"/>
    <tableColumn id="31" xr3:uid="{EDB0F070-B31D-4B00-90A6-0A190E3CA80B}" name="Land-DB" dataDxfId="472">
      <calculatedColumnFormula>TblExplore[[#This Row],[Land]]-TblExplore[[#This Row],[Land Bonus]]*20</calculatedColumnFormula>
    </tableColumn>
    <tableColumn id="32" xr3:uid="{B94D1074-50E9-44F1-8957-6BE450DE4BF0}" name="Plat/acre" dataDxfId="471">
      <calculatedColumnFormula>ROUND(MAX(0.6*TblExplore[[#This Row],[Land-DB]]^1.299,850)*(1+ tech_2_6*Techs!AC4 + tech_2_9*Techs!AF4 + tech_3_7*Techs!AN4 + Overview!$I$33),0)</calculatedColumnFormula>
    </tableColumn>
    <tableColumn id="33" xr3:uid="{F0CBDA56-E75F-4156-B9BD-681857934D22}" name="Draftees/acre" dataDxfId="470">
      <calculatedColumnFormula>_xlfn.FLOOR.MATH(TblExplore[[#This Row],[Land-DB]]/150)+3+tech_2_9_2*TblTech[[#This Row],[2-9]]+tech_3_7_2*TblTech[[#This Row],[3-7]]</calculatedColumnFormula>
    </tableColumn>
    <tableColumn id="34" xr3:uid="{FCB11E8B-2CF1-408C-B51A-7901C753C76F}" name="Platinum (2)" dataDxfId="469">
      <calculatedColumnFormula>SUM(TblExplore[[#This Row],[Plains Explore]:[Water Explore]])*TblExplore[[#This Row],[Plat/acre]]</calculatedColumnFormula>
    </tableColumn>
    <tableColumn id="35" xr3:uid="{61575F8F-5343-43C9-858D-AF8501368779}" name="Draftees (2)" dataDxfId="468">
      <calculatedColumnFormula>SUM(TblExplore[[#This Row],[Plains Explore]:[Water Explore]])*TblExplore[[#This Row],[Draftees/acre]]</calculatedColumnFormula>
    </tableColumn>
    <tableColumn id="36" xr3:uid="{BD4C2C0C-7F81-4BE8-9828-9CFCFFAFF394}" name="Max Explore" dataDxfId="467">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66" dataDxfId="465" tableBorderDxfId="46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63">
      <calculatedColumnFormula>TblConstr[[#This Row],[Land]]</calculatedColumnFormula>
    </tableColumn>
    <tableColumn id="2" xr3:uid="{09D3C0EB-2481-406C-ABC2-3B9FE0683D68}" name="Plains" dataDxfId="462">
      <calculatedColumnFormula>TblConstr[[#This Row],[Plain]]</calculatedColumnFormula>
    </tableColumn>
    <tableColumn id="3" xr3:uid="{E95763D4-88E5-487A-9912-CB5FED512375}" name="Forest" dataDxfId="461">
      <calculatedColumnFormula>TblConstr[[#This Row],[Forest]]</calculatedColumnFormula>
    </tableColumn>
    <tableColumn id="4" xr3:uid="{62B2173B-885E-48E7-B615-089739267B8E}" name="Mountains" dataDxfId="460">
      <calculatedColumnFormula>TblConstr[[#This Row],[Mountain]]</calculatedColumnFormula>
    </tableColumn>
    <tableColumn id="5" xr3:uid="{4FA61465-41A2-4497-AB2D-7B63B7113E12}" name="Hills" dataDxfId="459">
      <calculatedColumnFormula>TblConstr[[#This Row],[Hill]]</calculatedColumnFormula>
    </tableColumn>
    <tableColumn id="6" xr3:uid="{FC27A0D5-6BB5-414B-8DEB-98AD07E7EBFF}" name="Swamp" dataDxfId="458">
      <calculatedColumnFormula>TblConstr[[#This Row],[Swamp]]</calculatedColumnFormula>
    </tableColumn>
    <tableColumn id="7" xr3:uid="{E95EDCE9-4D0A-4F4F-80D0-F52A495BDAE2}" name="Caverns" dataDxfId="457">
      <calculatedColumnFormula>TblConstr[[#This Row],[Cavern]]</calculatedColumnFormula>
    </tableColumn>
    <tableColumn id="8" xr3:uid="{4D162EFF-D831-41C8-9A17-B9113296E43B}" name="Water" dataDxfId="456">
      <calculatedColumnFormula>TblConstr[[#This Row],[Water]]</calculatedColumnFormula>
    </tableColumn>
    <tableColumn id="9" xr3:uid="{D55A4201-089D-415F-8D4D-3ECCCB36C63A}" name="." dataDxfId="455"/>
    <tableColumn id="10" xr3:uid="{DD5BAECA-959B-44B4-BFE4-04100EF42CEE}" name="Hour" dataDxfId="454">
      <calculatedColumnFormula>J3+1</calculatedColumnFormula>
    </tableColumn>
    <tableColumn id="11" xr3:uid="{BBC04AC2-481C-43B9-8F7E-DA11BD9865DF}" name="Time" dataDxfId="453">
      <calculatedColumnFormula>TblImps[[#This Row],[Real time]]</calculatedColumnFormula>
    </tableColumn>
    <tableColumn id="12" xr3:uid="{D6C776EF-706C-4E21-B5A7-00C9AD08F8F2}" name="Plains Rezone" dataDxfId="452"/>
    <tableColumn id="13" xr3:uid="{8517A176-425D-4D28-9953-4EC1AA93C82D}" name="Forest Rezone" dataDxfId="451"/>
    <tableColumn id="14" xr3:uid="{6C6986FB-4B34-4620-9F5C-E204CA007C29}" name="Mountain Rezone" dataDxfId="450"/>
    <tableColumn id="15" xr3:uid="{A238C8DA-37C8-4B93-BDB9-803627A51455}" name="Hill Rezone" dataDxfId="449"/>
    <tableColumn id="16" xr3:uid="{6F93D167-46BB-49F9-99E2-4FE4FA89F6F6}" name="Swamp Rezone" dataDxfId="448"/>
    <tableColumn id="17" xr3:uid="{2891557D-037E-43FE-B080-6B5406778FAE}" name="Cavern Rezone" dataDxfId="447"/>
    <tableColumn id="18" xr3:uid="{C6630C4B-97F3-4512-833F-587ADB90804D}" name="Water Rezone" dataDxfId="446"/>
    <tableColumn id="19" xr3:uid="{71938840-BA0F-4F0E-90C2-866B3EEED32E}" name="Total acres" dataDxfId="445">
      <calculatedColumnFormula>SUMIF(TblRezone[[#This Row],[Plains Rezone]:[Water Rezone]],"&gt;0")</calculatedColumnFormula>
    </tableColumn>
    <tableColumn id="20" xr3:uid="{A48C796B-764B-4744-95D2-0DB5292F5562}" name="Ok?" dataDxfId="444">
      <calculatedColumnFormula>IF(SUM(TblRezone[[#This Row],[Plains Rezone]:[Water Rezone]])=0,"Ok","Nope")</calculatedColumnFormula>
    </tableColumn>
    <tableColumn id="21" xr3:uid="{2EBFAAC1-440A-44F3-A930-C229C35B9BD3}" name=".." dataDxfId="443"/>
    <tableColumn id="22" xr3:uid="{2020F260-8DB5-44E6-A131-B44D79AF6B62}" name="Platinum" dataDxfId="442">
      <calculatedColumnFormula>TblProd[[#This Row],[Platinum]]</calculatedColumnFormula>
    </tableColumn>
    <tableColumn id="23" xr3:uid="{81A5A213-A750-4DD5-8456-6B104D493CA4}" name="…" dataDxfId="441"/>
    <tableColumn id="24" xr3:uid="{8EF28125-DA30-4482-ADE4-2B916A90CAD2}" name="Plat/acre" dataDxfId="44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39">
      <calculatedColumnFormula>TblRezone[[#This Row],[Total acres]]*TblRezone[[#This Row],[Plat/acre]]</calculatedColumnFormula>
    </tableColumn>
    <tableColumn id="26" xr3:uid="{685D7DEA-DD3C-4385-BEC6-C5DBEEE6B44D}" name="…." dataDxfId="438"/>
    <tableColumn id="27" xr3:uid="{44BE000A-0846-46D4-B9B4-8728EC5881AB}" name="Plat/acre*" dataDxfId="437">
      <calculatedColumnFormula>(250+0.6*(TblRezone[[#This Row],[Land]]-250))</calculatedColumnFormula>
    </tableColumn>
    <tableColumn id="28" xr3:uid="{3AFBA97F-9340-4669-BF68-67D7B351BBD4}" name="….." dataDxfId="436"/>
    <tableColumn id="29" xr3:uid="{D8C9DC04-80EE-49BF-BEDB-6FEC536A5F93}" name="Facs" dataDxfId="43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434" dataDxfId="432" headerRowBorderDxfId="433" tableBorderDxfId="431">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430">
      <calculatedColumnFormula>TblRezone[[#This Row],[Hour]]</calculatedColumnFormula>
    </tableColumn>
    <tableColumn id="2" xr3:uid="{EAC413AF-EC0E-4C34-B6C3-F5AE2181B0A0}" name="Military" dataDxfId="429">
      <calculatedColumnFormula>SUM(TblMili[[#This Row],[Unit 1]:[Archmages]])+SUM(TblMili[[#This Row],[Train Unit 1]:[Train Unit 4]])+TblMili[[#This Row],[Draftees]]</calculatedColumnFormula>
    </tableColumn>
    <tableColumn id="3" xr3:uid="{B9847F02-8883-462E-B245-62A25138A973}" name="Military%" dataDxfId="428">
      <calculatedColumnFormula>TblPop[[#This Row],[Military%]]</calculatedColumnFormula>
    </tableColumn>
    <tableColumn id="4" xr3:uid="{873B66D3-9A4C-4CF2-ADD1-BF3696F9A721}" name="." dataDxfId="427"/>
    <tableColumn id="5" xr3:uid="{FC5A3C7C-0387-4B98-9BB7-AC3A387EAFF0}" name="Unit 1" dataDxfId="426">
      <calculatedColumnFormula>OFFSET(TblMili[[#This Row],[Unit 1]],-1,0) - TblMili[[#This Row],[Release Unit 1]]</calculatedColumnFormula>
    </tableColumn>
    <tableColumn id="6" xr3:uid="{A8BE2C9D-1318-46BD-B50B-D87014E90395}" name="Unit 2" dataDxfId="425">
      <calculatedColumnFormula>OFFSET(TblMili[[#This Row],[Unit 2]],-1,0)-TblMili[[#This Row],[Release Unit 2]]</calculatedColumnFormula>
    </tableColumn>
    <tableColumn id="7" xr3:uid="{49487FD4-4EF4-4722-A4A4-FCC0DD98F9F2}" name="Unit 3" dataDxfId="424">
      <calculatedColumnFormula>OFFSET(TblMili[[#This Row],[Unit 3]],-1,0)-TblMili[[#This Row],[Release Unit 3]]</calculatedColumnFormula>
    </tableColumn>
    <tableColumn id="8" xr3:uid="{739E7790-2960-445C-A5B2-C6064A881CDF}" name="Unit 4" dataDxfId="423">
      <calculatedColumnFormula>OFFSET(TblMili[[#This Row],[Unit 4]],-1,0)-TblMili[[#This Row],[Release Unit 4]]</calculatedColumnFormula>
    </tableColumn>
    <tableColumn id="9" xr3:uid="{0DB25EC0-D296-415A-BF65-DA60D7174CD2}" name="Spies" dataDxfId="422">
      <calculatedColumnFormula>OFFSET(TblMili[[#This Row],[Spies]],-1,0)-TblMili[[#This Row],[Release Spies]]</calculatedColumnFormula>
    </tableColumn>
    <tableColumn id="109" xr3:uid="{1E772BA5-219C-4FDC-ABC4-BDFC09C3EC97}" name="Archspies" dataDxfId="421"/>
    <tableColumn id="10" xr3:uid="{1B32AEAE-0DB3-4DD4-8543-1BD37596FD6C}" name="Wizards" dataDxfId="420">
      <calculatedColumnFormula>OFFSET(TblMili[[#This Row],[Wizards]],-1,0)-TblMili[[#This Row],[Release Wizards]]-TblMili[[#This Row],[Train AM]]</calculatedColumnFormula>
    </tableColumn>
    <tableColumn id="11" xr3:uid="{ED512AF5-16B2-421C-BF95-07157DB57B9D}" name="Archmages" dataDxfId="419">
      <calculatedColumnFormula>OFFSET(TblMili[[#This Row],[Archmages]],-1,0)-TblMili[[#This Row],[Release AM]]</calculatedColumnFormula>
    </tableColumn>
    <tableColumn id="12" xr3:uid="{CADE9B79-5861-46C5-8C69-B19C0F0551CF}" name=".." dataDxfId="418"/>
    <tableColumn id="13" xr3:uid="{18901E43-A967-4D1C-A56F-B4449A6C28E5}" name="Networth" dataDxfId="417">
      <calculatedColumnFormula>TblProd[[#This Row],[Networth]]</calculatedColumnFormula>
    </tableColumn>
    <tableColumn id="14" xr3:uid="{2F50B0FF-1C90-493E-BE67-86AFE22B6059}" name="…" dataDxfId="416"/>
    <tableColumn id="15" xr3:uid="{800A8F5F-B777-4995-AD6F-4DF929E0A477}" name="Raw" dataDxfId="415">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414">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13">
      <calculatedColumnFormula>TblMili[[#This Row],[Raw]]*(1+TblMili[[#This Row],[Mods_Off]])</calculatedColumnFormula>
    </tableColumn>
    <tableColumn id="18" xr3:uid="{49AD1BCC-C9BC-46CD-8B38-93838D61E9DD}" name="Non Draft" dataDxfId="412">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411">
      <calculatedColumnFormula>TblMili[[#This Row],[Non Draft]]+TblMili[[#This Row],[Draftees]]</calculatedColumnFormula>
    </tableColumn>
    <tableColumn id="20" xr3:uid="{C64B2C83-F9B3-427D-8326-C6954139623D}" name="Mods_Def" dataDxfId="410">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09" dataCellStyle="Comma">
      <calculatedColumnFormula>TblMili[[#This Row],[Non Draft]] * (1 + TblMili[[#This Row],[Mods_Def]])</calculatedColumnFormula>
    </tableColumn>
    <tableColumn id="22" xr3:uid="{EA8914C0-CD98-4E5C-A923-EA0F9E30F1EA}" name="Draft (mod)" dataDxfId="408">
      <calculatedColumnFormula>TblMili[[#This Row],[Draft]] * (1 + TblMili[[#This Row],[Mods_Def]])</calculatedColumnFormula>
    </tableColumn>
    <tableColumn id="23" xr3:uid="{EAC9356D-CE42-4256-BB93-BF208B480555}" name="Land" dataDxfId="407">
      <calculatedColumnFormula>TblConstr[[#This Row],[Land]]</calculatedColumnFormula>
    </tableColumn>
    <tableColumn id="24" xr3:uid="{D4A87242-2EDC-47D9-8CA4-84D822469E1B}" name="Set" dataDxfId="406"/>
    <tableColumn id="25" xr3:uid="{448088C9-E1C1-47E6-9443-BE83ECC5C2F2}" name="Draftrate" dataDxfId="405" dataCellStyle="Percent">
      <calculatedColumnFormula>IF(TblMili[[#This Row],[Set]]&lt;&gt;"",TblMili[[#This Row],[Set]],OFFSET(TblMili[[#This Row],[Draftrate]],-1,0))</calculatedColumnFormula>
    </tableColumn>
    <tableColumn id="26" xr3:uid="{EE8F6844-A68F-416E-B5A0-7B6FA4C5DE98}" name="Draftees" dataDxfId="404">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03"/>
    <tableColumn id="28" xr3:uid="{0B20A7CE-7BB6-4469-889B-DF744233C462}" name="Smithies" dataDxfId="402" dataCellStyle="Percent">
      <calculatedColumnFormula>(TblConstr[[#This Row],[Tot Smi]]+TblConstr[[#This Row],[Dest Smi]])/(TblConstr[[#This Row],[Land]]-TblExplore[[#This Row],[Land Bonus]]*20)</calculatedColumnFormula>
    </tableColumn>
    <tableColumn id="29" xr3:uid="{A03A8504-EBEF-4639-9EE4-238592848C94}" name="….." dataDxfId="401"/>
    <tableColumn id="30" xr3:uid="{4B521A36-EE77-42BE-850C-0D858F3717A6}" name="Hour (2)" dataDxfId="400">
      <calculatedColumnFormula>TblMili[[#This Row],[Hour]]</calculatedColumnFormula>
    </tableColumn>
    <tableColumn id="31" xr3:uid="{D44FE507-2C86-49D9-BC07-83C7B27BB255}" name="Time" dataDxfId="399">
      <calculatedColumnFormula>TblExplore[[#This Row],[Time]]</calculatedColumnFormula>
    </tableColumn>
    <tableColumn id="32" xr3:uid="{0DAD6AB9-2259-4821-8771-37863F1ED4CC}" name="Train Unit 1" dataDxfId="398"/>
    <tableColumn id="33" xr3:uid="{0E43B866-578B-4060-84D1-01656CB368A4}" name="Train Unit 2" dataDxfId="397"/>
    <tableColumn id="34" xr3:uid="{3AAC979B-4FF3-4EFF-8F6E-BD28BBE2B8BD}" name="Train Unit 3" dataDxfId="396"/>
    <tableColumn id="35" xr3:uid="{EC6B8083-BC72-4376-9760-2275CF62C1A6}" name="Train Unit 4" dataDxfId="395"/>
    <tableColumn id="36" xr3:uid="{DE15CA92-2C69-4205-88B3-DE37F5AAF9A6}" name="Train Spies" dataDxfId="394"/>
    <tableColumn id="107" xr3:uid="{917516D6-B00F-4F57-ADB0-6C22D2A96B9F}" name="Train AS" dataDxfId="393"/>
    <tableColumn id="37" xr3:uid="{97770C71-624D-4E73-A8AD-D79927F45908}" name="Train Wiz" dataDxfId="392"/>
    <tableColumn id="38" xr3:uid="{4E456233-AA67-4D90-9179-339EBD335F62}" name="Train AM" dataDxfId="391"/>
    <tableColumn id="111" xr3:uid="{54F0D0ED-12E4-4C6A-9A83-21A22A24F933}" name="DnD_Zombies" dataDxfId="390">
      <calculatedColumnFormula>ROUND(IF(AND(TblMagic[[#This Row],[Active DnD]]&lt;12,TblMagic[[#This Row],[Active DnD]]&gt;5),OFFSET(TblPop[[#This Row],[Draft Growth]],-1,0)*0.375,0),0)</calculatedColumnFormula>
    </tableColumn>
    <tableColumn id="39" xr3:uid="{29C90460-5421-4EA7-A4CB-BDA1C40BF8A1}" name="  " dataDxfId="389"/>
    <tableColumn id="40" xr3:uid="{2C04ED42-9AAF-4375-A8D4-18DA4B397FAA}" name="Platinum" dataDxfId="388">
      <calculatedColumnFormula>TblProd[[#This Row],[Platinum]]</calculatedColumnFormula>
    </tableColumn>
    <tableColumn id="41" xr3:uid="{122C6EDE-4C24-4A3C-9FA2-6A7942348604}" name="Secondary recource" dataDxfId="387">
      <calculatedColumnFormula>INDEX(TblProd[[#Headers],[Lumber]]:TblProd[[#This Row],[Ore]],COUNTA(TblProd[[#Headers],[Lumber]]:TblProd[[#This Row],[Lumber]]),MATCH(Military!$AR$2,TblProd[[#Headers],[Lumber]:[Ore]],0))</calculatedColumnFormula>
    </tableColumn>
    <tableColumn id="42" xr3:uid="{AD4D72D1-3860-48CA-B3DA-ADFB8307154A}" name="Plat Cost" dataDxfId="386">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85">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84">
      <calculatedColumnFormula>TblMili[[#This Row],[Hour]]</calculatedColumnFormula>
    </tableColumn>
    <tableColumn id="45" xr3:uid="{20B1F70F-03BF-43F5-9126-6B2FF45FE149}" name="Time " dataDxfId="383">
      <calculatedColumnFormula>TblMili[[#This Row],[Time]]</calculatedColumnFormula>
    </tableColumn>
    <tableColumn id="46" xr3:uid="{32831987-A30D-4329-BB1C-DB47E6B77B54}" name="Draftees    " dataDxfId="382">
      <calculatedColumnFormula>TblMili[[#This Row],[Draftees]]</calculatedColumnFormula>
    </tableColumn>
    <tableColumn id="47" xr3:uid="{7EBE7BE4-37D1-4B52-B049-F9BE4ABBBADC}" name="Release Draft" dataDxfId="381"/>
    <tableColumn id="48" xr3:uid="{C3BB0EE7-6180-4099-B663-EFA3F1503DB3}" name="Release Unit 1" dataDxfId="380"/>
    <tableColumn id="49" xr3:uid="{EDF7E463-807D-4CE2-B63E-18766260768C}" name="Release Unit 2" dataDxfId="379"/>
    <tableColumn id="50" xr3:uid="{A1BE9DD8-455A-4FAA-8154-5BB2D1A53261}" name="Release Unit 3" dataDxfId="378"/>
    <tableColumn id="51" xr3:uid="{4FE1D56E-EA47-4DF6-B5A4-E78C1D5F5774}" name="Release Unit 4" dataDxfId="377"/>
    <tableColumn id="52" xr3:uid="{F0F9CB78-BA40-4031-AC17-0AB88B159B60}" name="Release Spies" dataDxfId="376"/>
    <tableColumn id="108" xr3:uid="{118BE0C9-E863-4E5F-98D5-187B99319B85}" name="Release AS" dataDxfId="375"/>
    <tableColumn id="53" xr3:uid="{3CC7AC8A-814F-42C4-B491-A6DFD7A4A93E}" name="Release Wizards" dataDxfId="374"/>
    <tableColumn id="54" xr3:uid="{BCB616C3-3465-4473-B27B-B25584160E71}" name="Release AM" dataDxfId="373"/>
    <tableColumn id="55" xr3:uid="{6B6EC03F-2A6A-47EB-A7F1-0DFE335A330A}" name="   " dataDxfId="372"/>
    <tableColumn id="56" xr3:uid="{71F6F49D-CD22-4E5F-BBB5-61150307312C}" name="WG's" dataDxfId="371">
      <calculatedColumnFormula>TblConstr[[#This Row],[Tot WG]]/TblConstr[[#This Row],[Land]]</calculatedColumnFormula>
    </tableColumn>
    <tableColumn id="57" xr3:uid="{B8AC3F70-AED4-4E5E-9FFD-FF94CB39B791}" name="FH's" dataDxfId="370">
      <calculatedColumnFormula>TblConstr[[#This Row],[Tot Hav]]/TblConstr[[#This Row],[Land]]</calculatedColumnFormula>
    </tableColumn>
    <tableColumn id="58" xr3:uid="{140FE3B0-18E6-43AA-A625-E817354E2D53}" name="OP Plat" dataDxfId="369">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68">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67">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66">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65">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64">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63">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62">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61">
      <calculatedColumnFormula>ROUNDUP((1-MIN(ROUND(fh_spy_cost_red*TblMili[[#This Row],[FH''s]],4),fh_spy_cost_cap)+ tech_1_9*TblTech[[#This Row],[1-9]] + tech_9_1*TblTech[[#This Row],[9-1]])*spy_plat,0)</calculatedColumnFormula>
    </tableColumn>
    <tableColumn id="110" xr3:uid="{E3910BF3-0412-473B-852A-F6A0FE497DE5}" name="ASs Cost" dataDxfId="360">
      <calculatedColumnFormula>ROUNDUP((1-MIN(ROUND(fh_spy_cost_red*TblMili[[#This Row],[FH''s]],4),fh_spy_cost_cap)+ tech_1_9*TblTech[[#This Row],[1-9]] + tech_9_1*TblTech[[#This Row],[9-1]])*archspy_plat,0)</calculatedColumnFormula>
    </tableColumn>
    <tableColumn id="67" xr3:uid="{CDB40042-773A-4CE1-B670-B62BC884A947}" name="Wizzies cost" dataDxfId="359">
      <calculatedColumnFormula>ROUNDUP((1-MIN(ROUND(wg_wiz_cost_bonus*TblMili[[#This Row],[WG''s]],4),wg_wiz_cost_cap) + tech_1_9_2*TblTech[[#This Row],[1-9]] + tech_9_1_2*TblTech[[#This Row],[9-1]])*wizard_plat,0)</calculatedColumnFormula>
    </tableColumn>
    <tableColumn id="68" xr3:uid="{1053234A-AE18-4A82-94FC-D94692087DE3}" name="AMs cost" dataDxfId="358">
      <calculatedColumnFormula>ROUNDUP((1-MIN(ROUND(wg_wiz_cost_bonus*TblMili[[#This Row],[WG''s]],4),wg_wiz_cost_cap) + tech_1_9_2*TblTech[[#This Row],[1-9]] + tech_9_1_2*TblTech[[#This Row],[9-1]])*archmage_plat,0)</calculatedColumnFormula>
    </tableColumn>
    <tableColumn id="69" xr3:uid="{9D11DA92-CF6B-4838-B51B-494833977486}" name=" " dataDxfId="357"/>
    <tableColumn id="70" xr3:uid="{1F713D65-CE26-4E75-AF9C-1E2610D02FB6}" name="Homeland%" dataDxfId="356">
      <calculatedColumnFormula>TblConstr[[#This Row],[Homeland]]/TblConstr[[#This Row],[Land]]</calculatedColumnFormula>
    </tableColumn>
    <tableColumn id="71" xr3:uid="{FBD620E0-8F97-4BED-916D-A8962B459E13}" name="WG" dataDxfId="355">
      <calculatedColumnFormula>TblMili[[#This Row],[WG''s]]</calculatedColumnFormula>
    </tableColumn>
    <tableColumn id="72" xr3:uid="{0F482B90-6164-42A0-AC1A-EB6CBE2239E0}" name="Mystic" dataDxfId="354">
      <calculatedColumnFormula>IF(mystic_cap="none",TblMili[[#This Row],[Homeland%]]/mystic_bonus,MIN(mystic_cap,TblMili[[#This Row],[Homeland%]]/mystic_bonus))</calculatedColumnFormula>
    </tableColumn>
    <tableColumn id="73" xr3:uid="{2FD25056-5068-463F-8553-3D2CFBDBD80D}" name="Druid (op)" dataDxfId="353">
      <calculatedColumnFormula>IF(druid_op_cap="none",TblMili[[#This Row],[Homeland%]]/druid_op_bonus,MIN(druid_op_cap,TblMili[[#This Row],[Homeland%]]/druid_op_bonus))</calculatedColumnFormula>
    </tableColumn>
    <tableColumn id="74" xr3:uid="{53018DF3-E735-41C7-A3D0-8E634866C57E}" name="Druid (dp)" dataDxfId="352">
      <calculatedColumnFormula>IF(druid_dp_cap="none",TblMili[[#This Row],[Homeland%]]/druid_dp_bonus,MIN(druid_dp_cap,TblMili[[#This Row],[Homeland%]]/druid_dp_bonus))</calculatedColumnFormula>
    </tableColumn>
    <tableColumn id="75" xr3:uid="{7F4EE74D-9905-4DF0-A5F6-DDC9D0115356}" name="Dryad" dataDxfId="351">
      <calculatedColumnFormula>MIN(dryad_cap,TblMili[[#This Row],[Homeland%]]/dryad_bonus)</calculatedColumnFormula>
    </tableColumn>
    <tableColumn id="76" xr3:uid="{E7F9826C-05CD-49D4-95DF-ECCD467D1341}" name="Rockapult" dataDxfId="350">
      <calculatedColumnFormula>MIN(rocka_cap,TblMili[[#This Row],[Homeland%]]/rocka_bonus)</calculatedColumnFormula>
    </tableColumn>
    <tableColumn id="77" xr3:uid="{A26FFF73-DC56-4E66-8A0E-51A9C837AE8D}" name="Spellblade" dataDxfId="349">
      <calculatedColumnFormula>MIN(adept_op_cap,TblMili[[#This Row],[WG]]/adept_op_bonus)</calculatedColumnFormula>
    </tableColumn>
    <tableColumn id="78" xr3:uid="{A5F9372F-5EBA-4E5A-AB3F-5A786DE5FEB0}" name="Adept-DP" dataDxfId="348">
      <calculatedColumnFormula>MIN(adept_dp_cap,TblMili[[#This Row],[WG]]/adept_dp_bonus)</calculatedColumnFormula>
    </tableColumn>
    <tableColumn id="79" xr3:uid="{FF50DABE-A375-4222-848D-9C4D1D0FC999}" name="Beasts" dataDxfId="347">
      <calculatedColumnFormula>MIN(TblMili[[#This Row],[Unit 3]],TblMili[[#This Row],[Unit 2]])*2</calculatedColumnFormula>
    </tableColumn>
    <tableColumn id="80" xr3:uid="{FFCDA044-2FD9-4119-B82B-7914D887B7F4}" name="Overlords" dataDxfId="346">
      <calculatedColumnFormula>MIN(TblMili[[#This Row],[Unit 1]],TblMili[[#This Row],[Unit 4]])*2</calculatedColumnFormula>
    </tableColumn>
    <tableColumn id="81" xr3:uid="{00DE2C4D-2323-42A0-B749-2FB5F4E28DBF}" name="Frost Mage" dataDxfId="345">
      <calculatedColumnFormula>MIN(frost_mage_cap,TblMili[[#This Row],[Homeland%]]/frost_mage_bonus)</calculatedColumnFormula>
    </tableColumn>
    <tableColumn id="82" xr3:uid="{BB055F70-3593-48E8-A32F-2C3BC4E6D218}" name="Ice Elemental" dataDxfId="344">
      <calculatedColumnFormula>MIN(ice_elem_cap,TblMili[[#This Row],[Raw (2)]]*ice_elem_bonus)</calculatedColumnFormula>
    </tableColumn>
    <tableColumn id="83" xr3:uid="{1158BE59-7C9D-4D41-AE99-4249CB18E29F}" name="Orc" dataDxfId="343">
      <calculatedColumnFormula>MIN(bone_breaker_cap,250/bone_breaker_bonus)</calculatedColumnFormula>
    </tableColumn>
    <tableColumn id="84" xr3:uid="{76252BAC-90E5-49A7-B5F9-E399F71EA45D}" name="Nox" dataDxfId="342">
      <calculatedColumnFormula>MIN(nox_nightshade_cap,TblConstr[[#This Row],[Homeland]]/TblConstr[[#This Row],[Land]]/nox_nightshade_swamp_bonus)</calculatedColumnFormula>
    </tableColumn>
    <tableColumn id="113" xr3:uid="{4A27EC0B-8E58-4935-B9BC-28BBFBF14B3B}" name="Abyssal Enforcer" dataDxfId="341">
      <calculatedColumnFormula>MIN(TblConstr[[#This Row],[Total Swamp]]/TblConstr[[#This Row],[Land]]/abyss_enforce_bonus,abyss_enforcer_cap)</calculatedColumnFormula>
    </tableColumn>
    <tableColumn id="112" xr3:uid="{784D98C7-E60A-4D20-854E-4FCCFEFCDE00}" name="Demonic Pact OP" dataDxfId="340">
      <calculatedColumnFormula>IF(TblMagic[[#This Row],[Active Demonic Pact]]&gt;0,MIN(TblMili[[#This Row],[Unit 1]],TblMili[[#This Row],[Unit 4]])*demonic_pact_oppair,0)</calculatedColumnFormula>
    </tableColumn>
    <tableColumn id="85" xr3:uid="{1DFCAA2E-8651-447E-895D-82655A45DF53}" name="Column36" dataDxfId="339"/>
    <tableColumn id="86" xr3:uid="{2B117F31-500F-4EF5-A943-EA4E7192FD0F}" name="Column37" dataDxfId="338"/>
    <tableColumn id="87" xr3:uid="{F3D20B86-D78F-4794-87F9-C555822D3041}" name="Column38" dataDxfId="337"/>
    <tableColumn id="88" xr3:uid="{BDEF093C-2660-4215-8999-F98F4344DFB8}" name="Mystic bonus" dataDxfId="336">
      <calculatedColumnFormula>MIN(6,TblMili[[#This Row],[Mystic]]+Races!$F$19)*1.8 +  IF(TblMili[[#This Row],[Mystic]]+Races!$F$19&gt;6,(TblMili[[#This Row],[Mystic]]+Races!$F$19-6)*0.2,0) - Races!$I$19</calculatedColumnFormula>
    </tableColumn>
    <tableColumn id="89" xr3:uid="{46F4DC63-3122-4751-919D-25DE59A7EF66}" name="Druid bonus" dataDxfId="33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34">
      <calculatedColumnFormula>TblMili[[#This Row],[Mystic bonus]]*TblMili[[#This Row],[Unit 3]]+TblMili[[#This Row],[Druid bonus]]*TblMili[[#This Row],[Unit 4]]</calculatedColumnFormula>
    </tableColumn>
    <tableColumn id="91" xr3:uid="{4EE98187-D861-41F7-99BA-17048C4D8D34}" name="Dryad bonus" dataDxfId="333">
      <calculatedColumnFormula>MIN(6,TblMili[[#This Row],[Dryad]]+Races!$F$35)*1.8 +  IF(TblMili[[#This Row],[Dryad]]+Races!$F$35&gt;6,(TblMili[[#This Row],[Dryad]]+Races!$F$35-6)*0.2,0) - Races!$I$19</calculatedColumnFormula>
    </tableColumn>
    <tableColumn id="92" xr3:uid="{4D0FBA77-63EB-4AF7-AA3C-BF4D432786D2}" name="Sylvan bonus" dataDxfId="332">
      <calculatedColumnFormula>sylvan*(TblMili[[#This Row],[Mystic bonus]]*TblMili[[#This Row],[Unit 3]])</calculatedColumnFormula>
    </tableColumn>
    <tableColumn id="93" xr3:uid="{9CB7A2CE-8BEC-402B-B1F0-5A1153673E45}" name="Rockapult bonus" dataDxfId="33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30">
      <calculatedColumnFormula>gnome*(TblMili[[#This Row],[Rockapult bonus]]*TblMili[[#This Row],[Unit 3]])</calculatedColumnFormula>
    </tableColumn>
    <tableColumn id="95" xr3:uid="{A02C2188-BFCD-4178-8B64-B969D4D2D97B}" name="Adept bonus" dataDxfId="32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28">
      <calculatedColumnFormula>dark_elf*(TblMili[[#This Row],[Adept bonus]]*TblMili[[#This Row],[Unit 3]])</calculatedColumnFormula>
    </tableColumn>
    <tableColumn id="97" xr3:uid="{19730E51-BC55-444F-8E03-4B3A51C0E3D8}" name="Frost Mage bonus" dataDxfId="32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2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25">
      <calculatedColumnFormula>TblMili[[#This Row],[Frost Mage bonus]]*TblMili[[#This Row],[Unit 3]]+TblMili[[#This Row],[Ice Elemental bonus]]*TblMili[[#This Row],[Unit 4]]</calculatedColumnFormula>
    </tableColumn>
    <tableColumn id="100" xr3:uid="{A2072E36-3982-4B78-93F1-3B2C7DD41EB6}" name="Column46" dataDxfId="324"/>
    <tableColumn id="101" xr3:uid="{AA2C19ED-CD7C-4497-8949-4735D8380A50}" name="Favorable Terrain Bonus" dataDxfId="323" dataCellStyle="Percent">
      <calculatedColumnFormula>MIN(SUM(TblConstr[[#This Row],[Plain]:[Water]])/TblMili[[#This Row],[Land]]/favorable_terrain_bonus/100,favorable_terrain_max)</calculatedColumnFormula>
    </tableColumn>
    <tableColumn id="102" xr3:uid="{045A1C5D-FFD7-4F37-8C55-3E1C6325D69C}" name="Column48" dataDxfId="322"/>
    <tableColumn id="103" xr3:uid="{CA1D4487-36A8-42BE-AAE8-1C025B923059}" name="Networth (2)" dataDxfId="32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320"/>
    <tableColumn id="105" xr3:uid="{628D592A-8396-4FB0-BFC1-BC7CA81586EE}" name="Raw (2)" dataDxfId="319">
      <calculatedColumnFormula>(TblMili[[#This Row],[Wizards]]+2*TblMili[[#This Row],[Archmages]])/TblConstr[[#This Row],[Land]]</calculatedColumnFormula>
    </tableColumn>
    <tableColumn id="106" xr3:uid="{016BFDB0-CD57-41C0-AF17-CB540C2E962C}" name="Modded (2)" dataDxfId="31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317" dataDxfId="315" headerRowBorderDxfId="316" tableBorderDxfId="314">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313">
      <calculatedColumnFormula>TblRezone[[#This Row],[Hour]]</calculatedColumnFormula>
    </tableColumn>
    <tableColumn id="2" xr3:uid="{E160E2FF-C983-4A55-B03E-684BAA5D56D7}" name="Land" dataDxfId="312">
      <calculatedColumnFormula>TblConstr[[#This Row],[Land]]</calculatedColumnFormula>
    </tableColumn>
    <tableColumn id="3" xr3:uid="{CEA3931F-9B77-4317-A7C7-C5D0214A12BA}" name="Mana" dataDxfId="311">
      <calculatedColumnFormula>TblProd[[#This Row],[Mana]]</calculatedColumnFormula>
    </tableColumn>
    <tableColumn id="4" xr3:uid="{D383CA2D-65F3-4634-A1DD-E4ECA1CC96C8}" name="Wiz str" dataDxfId="31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09">
      <calculatedColumnFormula>OFFSET(TblMagic[[#This Row],[Time]],-1,0)+1/24</calculatedColumnFormula>
    </tableColumn>
    <tableColumn id="6" xr3:uid="{6625E0CA-37E1-457D-817F-784FA6A7A47B}" name="Pop" dataDxfId="308">
      <calculatedColumnFormula>TblImps[[#This Row],[Population]]</calculatedColumnFormula>
    </tableColumn>
    <tableColumn id="7" xr3:uid="{74B4A440-273D-4100-B1BC-91171D1D20B6}" name="Gaia's Watch" dataDxfId="307"/>
    <tableColumn id="8" xr3:uid="{43E4A01F-74F7-4C30-9D8A-3079A04763B9}" name="Mining Strength" dataDxfId="306"/>
    <tableColumn id="9" xr3:uid="{1A92950C-8F89-409E-9002-FCC57F75ADE0}" name="Ares Call" dataDxfId="305"/>
    <tableColumn id="10" xr3:uid="{A04C0737-02D0-4DAA-B9D7-324E3D59498C}" name="Midas Touch" dataDxfId="304"/>
    <tableColumn id="11" xr3:uid="{028D46F5-0AAD-49F8-AC48-D5E2C41FD4C2}" name="Harmony" dataDxfId="303"/>
    <tableColumn id="12" xr3:uid="{42548E68-C2D5-44CD-99FA-6AD40E64E185}" name="Miner's Sight" dataDxfId="302"/>
    <tableColumn id="13" xr3:uid="{D64F8C18-3DBE-4D7A-8AA3-C35E04DD6CAC}" name="Mechanical Genius" dataDxfId="301"/>
    <tableColumn id="14" xr3:uid="{0165862E-59ED-45FB-BD5A-0C7DCAA39217}" name="Death and Decay" dataDxfId="300"/>
    <tableColumn id="15" xr3:uid="{762B30AD-670D-48C3-94F1-2BA1DC4089CC}" name="Killing Rage / Bloodrage / Crusade" dataDxfId="299"/>
    <tableColumn id="16" xr3:uid="{0162EA56-857C-4157-A7AB-4D90C9EA47F1}" name="Gaia's Blessing" dataDxfId="298"/>
    <tableColumn id="17" xr3:uid="{6D83302D-974B-4742-8BDA-D99BB673F6D7}" name="Howling" dataDxfId="297"/>
    <tableColumn id="18" xr3:uid="{081EE08A-AA95-4648-9376-F68D04887352}" name="Alchemist Frost" dataDxfId="296"/>
    <tableColumn id="19" xr3:uid="{3BCC0361-67FB-4576-8296-8E91F374A4A4}" name="Alchemists Flame" dataDxfId="295"/>
    <tableColumn id="20" xr3:uid="{CFB1AFFE-0570-4E81-B96B-5EE870CC5038}" name="Nightfall" dataDxfId="294"/>
    <tableColumn id="40" xr3:uid="{CD69E8F6-3FD6-49C0-9EB8-DB9FD0CAA6D9}" name="Favorable Terrain" dataDxfId="293"/>
    <tableColumn id="42" xr3:uid="{B3C18C59-4C81-4804-BB33-FB8D6CCF256E}" name="Demonic Pact" dataDxfId="292"/>
    <tableColumn id="21" xr3:uid="{4F53D2F5-E2E8-4AEE-975D-5B925FA589B0}" name="Useless spell" dataDxfId="291"/>
    <tableColumn id="22" xr3:uid="{E7040239-1040-4E8C-8EEB-3D517AC825BD}" name="." dataDxfId="290"/>
    <tableColumn id="23" xr3:uid="{8F45EE21-92D1-4622-B103-16B477DF630B}" name="Mana cost" dataDxfId="289">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88">
      <calculatedColumnFormula>SUMIF(TblMagic[[#This Row],[Gaia''s Watch]:[Useless spell]],1)*0.05</calculatedColumnFormula>
    </tableColumn>
    <tableColumn id="25" xr3:uid="{2466DF86-89FE-4172-9850-F9FBAE56839D}" name=".." dataDxfId="287"/>
    <tableColumn id="26" xr3:uid="{F8559349-C288-4EC3-B38A-23771E549D1D}" name="Active Gaia's Watch" dataDxfId="286">
      <calculatedColumnFormula>IF(TblMagic[[#This Row],[Gaia''s Watch]],12,IF(OFFSET(TblMagic[[#This Row],[Active Gaia''s Watch]],-1,0)&gt;0,OFFSET(TblMagic[[#This Row],[Active Gaia''s Watch]],-1,0)-1,0))</calculatedColumnFormula>
    </tableColumn>
    <tableColumn id="27" xr3:uid="{00F45689-4686-422F-8E94-89C18992B261}" name="Active Mining Strength" dataDxfId="285">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84">
      <calculatedColumnFormula>IF(TblMagic[[#This Row],[Ares Call]],12,IF(OFFSET(TblMagic[[#This Row],[Active Ares Call]],-1,0)&gt;0,OFFSET(TblMagic[[#This Row],[Active Ares Call]],-1,0)-1,0))</calculatedColumnFormula>
    </tableColumn>
    <tableColumn id="29" xr3:uid="{BCC9ACB6-69AC-4DA1-B07D-F4802162CEF5}" name="Active Midas Touch" dataDxfId="283">
      <calculatedColumnFormula>IF(TblMagic[[#This Row],[Midas Touch]],12,IF(OFFSET(TblMagic[[#This Row],[Active Midas Touch]],-1,0)&gt;0,OFFSET(TblMagic[[#This Row],[Active Midas Touch]],-1,0)-1,0))</calculatedColumnFormula>
    </tableColumn>
    <tableColumn id="30" xr3:uid="{D13DA239-CC1B-41FD-A41B-68906B10F262}" name="Active Harmony" dataDxfId="282">
      <calculatedColumnFormula>IF(TblMagic[[#This Row],[Harmony]],12,IF(OFFSET(TblMagic[[#This Row],[Active Harmony]],-1,0)&gt;0,OFFSET(TblMagic[[#This Row],[Active Harmony]],-1,0)-1,0))</calculatedColumnFormula>
    </tableColumn>
    <tableColumn id="31" xr3:uid="{10D4FEA0-0AA8-4F31-8F5A-8576AE611BDA}" name="Active Miner's Sight" dataDxfId="281">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80">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79">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78">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77">
      <calculatedColumnFormula>IF(TblMagic[[#This Row],[Gaia''s Blessing]],12,IF(OFFSET(TblMagic[[#This Row],[Active Gaia''s Blessing]],-1,0)&gt;0,OFFSET(TblMagic[[#This Row],[Active Gaia''s Blessing]],-1,0)-1,0))</calculatedColumnFormula>
    </tableColumn>
    <tableColumn id="36" xr3:uid="{DB2BE469-2BE3-4333-BFBC-C2857399E743}" name="Active Howling" dataDxfId="276">
      <calculatedColumnFormula>IF(TblMagic[[#This Row],[Howling]],12,IF(OFFSET(TblMagic[[#This Row],[Active Howling]],-1,0)&gt;0,OFFSET(TblMagic[[#This Row],[Active Howling]],-1,0)-1,0))</calculatedColumnFormula>
    </tableColumn>
    <tableColumn id="37" xr3:uid="{F5838FA3-8068-44AA-A6A2-758F46E5F78D}" name="Active Alch Frost" dataDxfId="275">
      <calculatedColumnFormula>IF(TblMagic[[#This Row],[Alchemist Frost]],12,IF(OFFSET(TblMagic[[#This Row],[Active Alch Frost]],-1,0)&gt;0,OFFSET(TblMagic[[#This Row],[Active Alch Frost]],-1,0)-1,0))</calculatedColumnFormula>
    </tableColumn>
    <tableColumn id="38" xr3:uid="{11215FCC-A994-4C4E-835C-F365C4B7BDF8}" name="Active Alchemists Flame" dataDxfId="274">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73">
      <calculatedColumnFormula>IF(TblMagic[[#This Row],[Nightfall]],12,IF(OFFSET(TblMagic[[#This Row],[Active Nightfall]],-1,0)&gt;0,OFFSET(TblMagic[[#This Row],[Active Nightfall]],-1,0)-1,0))</calculatedColumnFormula>
    </tableColumn>
    <tableColumn id="41" xr3:uid="{E8FFEB0A-82D1-4B3D-86CE-6103CDF8A0FD}" name="Active Favorable Terrain" dataDxfId="272">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71"/>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70" dataDxfId="269">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68">
      <calculatedColumnFormula>TblRezone[[#This Row],[Hour]]</calculatedColumnFormula>
    </tableColumn>
    <tableColumn id="3" xr3:uid="{DA4A1ACF-68D6-4564-BB1C-C3C3172606A1}" name="Land" dataDxfId="267">
      <calculatedColumnFormula>TblExplore[[#This Row],[Land-DB]]</calculatedColumnFormula>
    </tableColumn>
    <tableColumn id="4" xr3:uid="{05D0DCAF-595D-47DB-9D6C-DB4A543CF655}" name="Techpoints" dataDxfId="266">
      <calculatedColumnFormula>TblProd[[#This Row],[Techpoints]]</calculatedColumnFormula>
    </tableColumn>
    <tableColumn id="5" xr3:uid="{B8D24105-AE76-4A7C-9D26-589CB9891ED4}" name="Cost" dataDxfId="265">
      <calculatedColumnFormula>TblProd[[#This Row],[Required]]</calculatedColumnFormula>
    </tableColumn>
    <tableColumn id="93" xr3:uid="{2ABEB4AB-3FE9-4283-8DD1-DADEE729E1F4}" name="." dataDxfId="264"/>
    <tableColumn id="9" xr3:uid="{94ADF196-65A4-42D5-B9F1-902A2448736A}" name="Activate @ hour" dataDxfId="263"/>
    <tableColumn id="10" xr3:uid="{41EC03BC-D935-4DB1-9358-D7E68CB11DA3}" name="Number" dataDxfId="262"/>
    <tableColumn id="19" xr3:uid="{8781F361-D9CA-4DDC-83D1-8F9FCDC61FD4}" name="Tech name" dataDxfId="261"/>
    <tableColumn id="11" xr3:uid="{ED497BC4-A3FE-4968-980C-41E3E397E8F1}" name="Gains" dataDxfId="260"/>
    <tableColumn id="20" xr3:uid="{B66F94F3-B0AC-4CC0-9E7C-4CF7E4C92EEE}" name=".." dataDxfId="259"/>
    <tableColumn id="21" xr3:uid="{4775993E-7C72-4134-8A78-3FB7DCE45728}" name="…" dataDxfId="258">
      <calculatedColumnFormula>IF(TblTech[[#This Row],[Sum of tech]]&lt;&gt;OFFSET(TblTech[[#This Row],[Sum of tech]],-1,0),1,0)</calculatedColumnFormula>
    </tableColumn>
    <tableColumn id="22" xr3:uid="{DFF59F63-FD6B-45DE-9EEF-3899A7D747EF}" name="Sum of tech" dataDxfId="257">
      <calculatedColumnFormula>COUNTIF(TblTech[[#This Row],[1-1]:[11-1]],1)</calculatedColumnFormula>
    </tableColumn>
    <tableColumn id="23" xr3:uid="{26B2ED42-21EF-41D3-8431-65B8DCB84C2C}" name="1-1" dataDxfId="256">
      <calculatedColumnFormula array="1">IF(AND(M$2&lt;&gt;0,TblTech[[#This Row],[Hour]:[Hour]]&gt;=M$2),1,0)</calculatedColumnFormula>
    </tableColumn>
    <tableColumn id="24" xr3:uid="{50258140-FB02-4B3A-8985-9EF35792D437}" name="1-2" dataDxfId="255">
      <calculatedColumnFormula array="1">IF(AND(N$2&lt;&gt;0,TblTech[[#This Row],[Hour]:[Hour]]&gt;=N$2),1,0)</calculatedColumnFormula>
    </tableColumn>
    <tableColumn id="25" xr3:uid="{7124BFDC-5B72-4806-BD66-A9B40B96E890}" name="1-3" dataDxfId="254">
      <calculatedColumnFormula array="1">IF(AND(O$2&lt;&gt;0,TblTech[[#This Row],[Hour]:[Hour]]&gt;=O$2),1,0)</calculatedColumnFormula>
    </tableColumn>
    <tableColumn id="26" xr3:uid="{7F0A139B-B30E-4409-9274-8016025EA227}" name="1-4" dataDxfId="253">
      <calculatedColumnFormula array="1">IF(AND(P$2&lt;&gt;0,TblTech[[#This Row],[Hour]:[Hour]]&gt;=P$2),1,0)</calculatedColumnFormula>
    </tableColumn>
    <tableColumn id="27" xr3:uid="{29B9EAE2-227D-4807-9E41-445565CAAFF7}" name="1-5" dataDxfId="252">
      <calculatedColumnFormula array="1">IF(AND(Q$2&lt;&gt;0,TblTech[[#This Row],[Hour]:[Hour]]&gt;=Q$2),1,0)</calculatedColumnFormula>
    </tableColumn>
    <tableColumn id="28" xr3:uid="{43587F1E-C217-44F9-817A-0114F7F48D02}" name="1-6" dataDxfId="251">
      <calculatedColumnFormula array="1">IF(AND(R$2&lt;&gt;0,TblTech[[#This Row],[Hour]:[Hour]]&gt;=R$2),1,0)</calculatedColumnFormula>
    </tableColumn>
    <tableColumn id="29" xr3:uid="{0524F9E6-09EC-4986-B7A6-35B925952E60}" name="1-7" dataDxfId="250">
      <calculatedColumnFormula array="1">IF(AND(S$2&lt;&gt;0,TblTech[[#This Row],[Hour]:[Hour]]&gt;=S$2),1,0)</calculatedColumnFormula>
    </tableColumn>
    <tableColumn id="30" xr3:uid="{188B6808-99A1-4A91-A689-87097F62C1C1}" name="1-8" dataDxfId="249">
      <calculatedColumnFormula array="1">IF(AND(T$2&lt;&gt;0,TblTech[[#This Row],[Hour]:[Hour]]&gt;=T$2),1,0)</calculatedColumnFormula>
    </tableColumn>
    <tableColumn id="31" xr3:uid="{DC02C18F-47C9-4A23-8F34-9E02A677D29B}" name="1-9" dataDxfId="248">
      <calculatedColumnFormula array="1">IF(AND(U$2&lt;&gt;0,TblTech[[#This Row],[Hour]:[Hour]]&gt;=U$2),1,0)</calculatedColumnFormula>
    </tableColumn>
    <tableColumn id="32" xr3:uid="{21B6A564-7028-4932-914B-F32A59CAEC67}" name="1-10" dataDxfId="247">
      <calculatedColumnFormula array="1">IF(AND(V$2&lt;&gt;0,TblTech[[#This Row],[Hour]:[Hour]]&gt;=V$2),1,0)</calculatedColumnFormula>
    </tableColumn>
    <tableColumn id="33" xr3:uid="{BE08B152-511E-4680-AD58-AFCC2777EE65}" name="1-11" dataDxfId="246">
      <calculatedColumnFormula array="1">IF(AND(W$2&lt;&gt;0,TblTech[[#This Row],[Hour]:[Hour]]&gt;=W$2),1,0)</calculatedColumnFormula>
    </tableColumn>
    <tableColumn id="34" xr3:uid="{F0B67B28-DF8B-4FF4-BE8F-BD953642450D}" name="2-1" dataDxfId="245">
      <calculatedColumnFormula array="1">IF(AND(X$2&lt;&gt;0,TblTech[[#This Row],[Hour]:[Hour]]&gt;=X$2),1,0)</calculatedColumnFormula>
    </tableColumn>
    <tableColumn id="35" xr3:uid="{E1C38FB5-1814-43BE-8628-9E331159B491}" name="2-2" dataDxfId="244">
      <calculatedColumnFormula array="1">IF(AND(Y$2&lt;&gt;0,TblTech[[#This Row],[Hour]:[Hour]]&gt;=Y$2),1,0)</calculatedColumnFormula>
    </tableColumn>
    <tableColumn id="36" xr3:uid="{8EEFA1A3-F668-44A9-99D5-F625CDEC0846}" name="2-3" dataDxfId="243">
      <calculatedColumnFormula array="1">IF(AND(Z$2&lt;&gt;0,TblTech[[#This Row],[Hour]:[Hour]]&gt;=Z$2),1,0)</calculatedColumnFormula>
    </tableColumn>
    <tableColumn id="37" xr3:uid="{8B9C353C-5141-4E70-88A8-3C0ADC0F65A2}" name="2-4" dataDxfId="242">
      <calculatedColumnFormula array="1">IF(AND(AA$2&lt;&gt;0,TblTech[[#This Row],[Hour]:[Hour]]&gt;=AA$2),1,0)</calculatedColumnFormula>
    </tableColumn>
    <tableColumn id="38" xr3:uid="{4F9949FA-D32C-43B0-A632-BDA246027740}" name="2-5" dataDxfId="241">
      <calculatedColumnFormula array="1">IF(AND(AB$2&lt;&gt;0,TblTech[[#This Row],[Hour]:[Hour]]&gt;=AB$2),1,0)</calculatedColumnFormula>
    </tableColumn>
    <tableColumn id="39" xr3:uid="{E35ABE45-7462-4288-879B-43C24510B588}" name="2-6" dataDxfId="240">
      <calculatedColumnFormula array="1">IF(AND(AC$2&lt;&gt;0,TblTech[[#This Row],[Hour]:[Hour]]&gt;=AC$2),1,0)</calculatedColumnFormula>
    </tableColumn>
    <tableColumn id="40" xr3:uid="{B02ACA29-3024-4B8E-B2F0-E65F48E762BF}" name="2-7" dataDxfId="239">
      <calculatedColumnFormula array="1">IF(AND(AD$2&lt;&gt;0,TblTech[[#This Row],[Hour]:[Hour]]&gt;=AD$2),1,0)</calculatedColumnFormula>
    </tableColumn>
    <tableColumn id="41" xr3:uid="{34022863-F0D7-473E-B433-052438597C70}" name="2-8" dataDxfId="238">
      <calculatedColumnFormula array="1">IF(AND(AE$2&lt;&gt;0,TblTech[[#This Row],[Hour]:[Hour]]&gt;=AE$2),1,0)</calculatedColumnFormula>
    </tableColumn>
    <tableColumn id="42" xr3:uid="{4264B147-345F-4187-898B-976D4720C3B2}" name="2-9" dataDxfId="237">
      <calculatedColumnFormula array="1">IF(AND(AF$2&lt;&gt;0,TblTech[[#This Row],[Hour]:[Hour]]&gt;=AF$2),1,0)</calculatedColumnFormula>
    </tableColumn>
    <tableColumn id="43" xr3:uid="{040A812F-9A82-4FA5-96D4-BB0CE9B1567D}" name="2-10" dataDxfId="236">
      <calculatedColumnFormula array="1">IF(AND(AG$2&lt;&gt;0,TblTech[[#This Row],[Hour]:[Hour]]&gt;=AG$2),1,0)</calculatedColumnFormula>
    </tableColumn>
    <tableColumn id="44" xr3:uid="{65E9F477-8A73-4C7D-9453-E8F8A13C4220}" name="3-1" dataDxfId="235">
      <calculatedColumnFormula array="1">IF(AND(AH$2&lt;&gt;0,TblTech[[#This Row],[Hour]:[Hour]]&gt;=AH$2),1,0)</calculatedColumnFormula>
    </tableColumn>
    <tableColumn id="45" xr3:uid="{86A8FA88-B983-4431-9D5A-9A068F2DE89C}" name="3-2" dataDxfId="234">
      <calculatedColumnFormula array="1">IF(AND(AI$2&lt;&gt;0,TblTech[[#This Row],[Hour]:[Hour]]&gt;=AI$2),1,0)</calculatedColumnFormula>
    </tableColumn>
    <tableColumn id="46" xr3:uid="{B4D6E3D7-41BB-4A05-98AF-36C706567C66}" name="3-3" dataDxfId="233">
      <calculatedColumnFormula array="1">IF(AND(AJ$2&lt;&gt;0,TblTech[[#This Row],[Hour]:[Hour]]&gt;=AJ$2),1,0)</calculatedColumnFormula>
    </tableColumn>
    <tableColumn id="47" xr3:uid="{A65655BF-F389-46E7-B712-282C9B16E721}" name="3-4" dataDxfId="232">
      <calculatedColumnFormula array="1">IF(AND(AK$2&lt;&gt;0,TblTech[[#This Row],[Hour]:[Hour]]&gt;=AK$2),1,0)</calculatedColumnFormula>
    </tableColumn>
    <tableColumn id="48" xr3:uid="{6AC53AFF-C5BC-4C6E-A226-AD750DEF26F0}" name="3-5" dataDxfId="231">
      <calculatedColumnFormula array="1">IF(AND(AL$2&lt;&gt;0,TblTech[[#This Row],[Hour]:[Hour]]&gt;=AL$2),1,0)</calculatedColumnFormula>
    </tableColumn>
    <tableColumn id="49" xr3:uid="{517C8F30-6F70-4A9F-930D-87F70A281D06}" name="3-6" dataDxfId="230">
      <calculatedColumnFormula array="1">IF(AND(AM$2&lt;&gt;0,TblTech[[#This Row],[Hour]:[Hour]]&gt;=AM$2),1,0)</calculatedColumnFormula>
    </tableColumn>
    <tableColumn id="50" xr3:uid="{3B9D0CD9-1DC1-4BF8-84D6-0C15DCE53BA3}" name="3-7" dataDxfId="229">
      <calculatedColumnFormula array="1">IF(AND(AN$2&lt;&gt;0,TblTech[[#This Row],[Hour]:[Hour]]&gt;=AN$2),1,0)</calculatedColumnFormula>
    </tableColumn>
    <tableColumn id="51" xr3:uid="{BF773A1C-6C94-4253-89D5-6B882BDABD54}" name="3-8" dataDxfId="228">
      <calculatedColumnFormula array="1">IF(AND(AO$2&lt;&gt;0,TblTech[[#This Row],[Hour]:[Hour]]&gt;=AO$2),1,0)</calculatedColumnFormula>
    </tableColumn>
    <tableColumn id="52" xr3:uid="{D719799C-D81A-4575-B1F1-9835FB72D924}" name="3-9" dataDxfId="227">
      <calculatedColumnFormula array="1">IF(AND(AP$2&lt;&gt;0,TblTech[[#This Row],[Hour]:[Hour]]&gt;=AP$2),1,0)</calculatedColumnFormula>
    </tableColumn>
    <tableColumn id="53" xr3:uid="{81CD67AD-C2F6-496B-991C-75EACF4860E0}" name="4-1" dataDxfId="226">
      <calculatedColumnFormula array="1">IF(AND(AQ$2&lt;&gt;0,TblTech[[#This Row],[Hour]:[Hour]]&gt;=AQ$2),1,0)</calculatedColumnFormula>
    </tableColumn>
    <tableColumn id="54" xr3:uid="{3255B3D4-FF8E-4B91-8A83-C128D00B29D0}" name="4-2" dataDxfId="225">
      <calculatedColumnFormula array="1">IF(AND(AR$2&lt;&gt;0,TblTech[[#This Row],[Hour]:[Hour]]&gt;=AR$2),1,0)</calculatedColumnFormula>
    </tableColumn>
    <tableColumn id="55" xr3:uid="{E9B22F56-FCCE-4890-8FF4-FF6D8C0863D0}" name="4-3" dataDxfId="224">
      <calculatedColumnFormula array="1">IF(AND(AS$2&lt;&gt;0,TblTech[[#This Row],[Hour]:[Hour]]&gt;=AS$2),1,0)</calculatedColumnFormula>
    </tableColumn>
    <tableColumn id="56" xr3:uid="{1C0A6BE0-6DBC-40E6-B512-F921E4637B0B}" name="4-4" dataDxfId="223">
      <calculatedColumnFormula array="1">IF(AND(AT$2&lt;&gt;0,TblTech[[#This Row],[Hour]:[Hour]]&gt;=AT$2),1,0)</calculatedColumnFormula>
    </tableColumn>
    <tableColumn id="57" xr3:uid="{5DAC0420-BB86-481B-957A-78DB826A7E20}" name="4-5" dataDxfId="222">
      <calculatedColumnFormula array="1">IF(AND(AU$2&lt;&gt;0,TblTech[[#This Row],[Hour]:[Hour]]&gt;=AU$2),1,0)</calculatedColumnFormula>
    </tableColumn>
    <tableColumn id="58" xr3:uid="{2442830B-618D-4A03-A6E6-23EC65BAB59B}" name="4-6" dataDxfId="221">
      <calculatedColumnFormula array="1">IF(AND(AV$2&lt;&gt;0,TblTech[[#This Row],[Hour]:[Hour]]&gt;=AV$2),1,0)</calculatedColumnFormula>
    </tableColumn>
    <tableColumn id="59" xr3:uid="{8AB48F18-B215-484F-9058-BE5431D00ED5}" name="4-7" dataDxfId="220">
      <calculatedColumnFormula array="1">IF(AND(AW$2&lt;&gt;0,TblTech[[#This Row],[Hour]:[Hour]]&gt;=AW$2),1,0)</calculatedColumnFormula>
    </tableColumn>
    <tableColumn id="60" xr3:uid="{3B7FB99A-0607-4DBC-A93C-47B6B21464A5}" name="4-8" dataDxfId="219">
      <calculatedColumnFormula array="1">IF(AND(AX$2&lt;&gt;0,TblTech[[#This Row],[Hour]:[Hour]]&gt;=AX$2),1,0)</calculatedColumnFormula>
    </tableColumn>
    <tableColumn id="61" xr3:uid="{CFAAB1A4-4760-4FF3-BF0E-D276BAEF346A}" name="5-1" dataDxfId="218">
      <calculatedColumnFormula array="1">IF(AND(AY$2&lt;&gt;0,TblTech[[#This Row],[Hour]:[Hour]]&gt;=AY$2),1,0)</calculatedColumnFormula>
    </tableColumn>
    <tableColumn id="62" xr3:uid="{E5F62076-AF81-4EE1-A6D2-C4FBF4181C93}" name="5-2" dataDxfId="217">
      <calculatedColumnFormula array="1">IF(AND(AZ$2&lt;&gt;0,TblTech[[#This Row],[Hour]:[Hour]]&gt;=AZ$2),1,0)</calculatedColumnFormula>
    </tableColumn>
    <tableColumn id="63" xr3:uid="{EE3346E8-7A22-4F0A-94B7-B36570A0B72E}" name="5-3" dataDxfId="216">
      <calculatedColumnFormula array="1">IF(AND(BA$2&lt;&gt;0,TblTech[[#This Row],[Hour]:[Hour]]&gt;=BA$2),1,0)</calculatedColumnFormula>
    </tableColumn>
    <tableColumn id="64" xr3:uid="{19F3E157-570E-4E1E-BCC2-3EF92D7B8A8B}" name="5-4" dataDxfId="215">
      <calculatedColumnFormula array="1">IF(AND(BB$2&lt;&gt;0,TblTech[[#This Row],[Hour]:[Hour]]&gt;=BB$2),1,0)</calculatedColumnFormula>
    </tableColumn>
    <tableColumn id="65" xr3:uid="{A59D5D3A-678C-49C4-A3B5-D86FF0C14500}" name="5-5" dataDxfId="214">
      <calculatedColumnFormula array="1">IF(AND(BC$2&lt;&gt;0,TblTech[[#This Row],[Hour]:[Hour]]&gt;=BC$2),1,0)</calculatedColumnFormula>
    </tableColumn>
    <tableColumn id="66" xr3:uid="{3EBEC9F5-18F1-461D-AF3F-E66DA870B9ED}" name="5-6" dataDxfId="213">
      <calculatedColumnFormula array="1">IF(AND(BD$2&lt;&gt;0,TblTech[[#This Row],[Hour]:[Hour]]&gt;=BD$2),1,0)</calculatedColumnFormula>
    </tableColumn>
    <tableColumn id="67" xr3:uid="{20985549-198B-4F2A-AF78-070BD8A22298}" name="5-7" dataDxfId="212">
      <calculatedColumnFormula array="1">IF(AND(BE$2&lt;&gt;0,TblTech[[#This Row],[Hour]:[Hour]]&gt;=BE$2),1,0)</calculatedColumnFormula>
    </tableColumn>
    <tableColumn id="68" xr3:uid="{F4DDB15D-3A5D-449E-8491-EA836A4AB090}" name="6-1" dataDxfId="211">
      <calculatedColumnFormula array="1">IF(AND(BF$2&lt;&gt;0,TblTech[[#This Row],[Hour]:[Hour]]&gt;=BF$2),1,0)</calculatedColumnFormula>
    </tableColumn>
    <tableColumn id="69" xr3:uid="{CC7E2300-DCD5-46C6-AD93-8F283F035DAF}" name="6-2" dataDxfId="210">
      <calculatedColumnFormula array="1">IF(AND(BG$2&lt;&gt;0,TblTech[[#This Row],[Hour]:[Hour]]&gt;=BG$2),1,0)</calculatedColumnFormula>
    </tableColumn>
    <tableColumn id="70" xr3:uid="{0DC5B532-84DD-40E3-9A96-3B7ED120C52C}" name="6-3" dataDxfId="209">
      <calculatedColumnFormula array="1">IF(AND(BH$2&lt;&gt;0,TblTech[[#This Row],[Hour]:[Hour]]&gt;=BH$2),1,0)</calculatedColumnFormula>
    </tableColumn>
    <tableColumn id="71" xr3:uid="{DBF8F56A-2B38-47BE-86BB-D34F12B071FA}" name="6-4" dataDxfId="208">
      <calculatedColumnFormula array="1">IF(AND(BI$2&lt;&gt;0,TblTech[[#This Row],[Hour]:[Hour]]&gt;=BI$2),1,0)</calculatedColumnFormula>
    </tableColumn>
    <tableColumn id="72" xr3:uid="{8A63D20A-B735-48C5-9D04-93C0E6922380}" name="6-5" dataDxfId="207">
      <calculatedColumnFormula array="1">IF(AND(BJ$2&lt;&gt;0,TblTech[[#This Row],[Hour]:[Hour]]&gt;=BJ$2),1,0)</calculatedColumnFormula>
    </tableColumn>
    <tableColumn id="73" xr3:uid="{40ABCA6E-09C4-437C-8184-D2AA8A46BADC}" name="6-6" dataDxfId="206">
      <calculatedColumnFormula array="1">IF(AND(BK$2&lt;&gt;0,TblTech[[#This Row],[Hour]:[Hour]]&gt;=BK$2),1,0)</calculatedColumnFormula>
    </tableColumn>
    <tableColumn id="74" xr3:uid="{304D27FC-5054-456F-9FA0-3E170324E735}" name="7-1" dataDxfId="205">
      <calculatedColumnFormula array="1">IF(AND(BL$2&lt;&gt;0,TblTech[[#This Row],[Hour]:[Hour]]&gt;=BL$2),1,0)</calculatedColumnFormula>
    </tableColumn>
    <tableColumn id="75" xr3:uid="{F53A9B26-BE5F-4442-9E77-570EB38C7B2D}" name="7-2" dataDxfId="204">
      <calculatedColumnFormula array="1">IF(AND(BM$2&lt;&gt;0,TblTech[[#This Row],[Hour]:[Hour]]&gt;=BM$2),1,0)</calculatedColumnFormula>
    </tableColumn>
    <tableColumn id="76" xr3:uid="{5A1C0BCB-6C77-48A3-8B36-DA0838BEFD4F}" name="7-3" dataDxfId="203">
      <calculatedColumnFormula array="1">IF(AND(BN$2&lt;&gt;0,TblTech[[#This Row],[Hour]:[Hour]]&gt;=BN$2),1,0)</calculatedColumnFormula>
    </tableColumn>
    <tableColumn id="77" xr3:uid="{96D50B4B-A1C4-4AE1-87EE-409B3128CB4D}" name="7-4" dataDxfId="202">
      <calculatedColumnFormula array="1">IF(AND(BO$2&lt;&gt;0,TblTech[[#This Row],[Hour]:[Hour]]&gt;=BO$2),1,0)</calculatedColumnFormula>
    </tableColumn>
    <tableColumn id="78" xr3:uid="{64A36F5D-65DB-44C8-84EC-A1A1FFF2B3AB}" name="7-5" dataDxfId="201">
      <calculatedColumnFormula array="1">IF(AND(BP$2&lt;&gt;0,TblTech[[#This Row],[Hour]:[Hour]]&gt;=BP$2),1,0)</calculatedColumnFormula>
    </tableColumn>
    <tableColumn id="79" xr3:uid="{73D8C7B5-D3FC-4DB3-BB3C-6A056F59A2A0}" name="8-1" dataDxfId="200">
      <calculatedColumnFormula array="1">IF(AND(BQ$2&lt;&gt;0,TblTech[[#This Row],[Hour]:[Hour]]&gt;=BQ$2),1,0)</calculatedColumnFormula>
    </tableColumn>
    <tableColumn id="80" xr3:uid="{8C8F01C9-13ED-4ABA-B4ED-5D892B20A077}" name="8-2" dataDxfId="199">
      <calculatedColumnFormula array="1">IF(AND(BR$2&lt;&gt;0,TblTech[[#This Row],[Hour]:[Hour]]&gt;=BR$2),1,0)</calculatedColumnFormula>
    </tableColumn>
    <tableColumn id="81" xr3:uid="{954DF58F-2216-42C3-A4F3-4A1B568C8A7F}" name="8-3" dataDxfId="198">
      <calculatedColumnFormula array="1">IF(AND(BS$2&lt;&gt;0,TblTech[[#This Row],[Hour]:[Hour]]&gt;=BS$2),1,0)</calculatedColumnFormula>
    </tableColumn>
    <tableColumn id="82" xr3:uid="{941FAEC7-7D7C-4C75-9F8E-BB3469E2F29F}" name="8-4" dataDxfId="197">
      <calculatedColumnFormula array="1">IF(AND(BT$2&lt;&gt;0,TblTech[[#This Row],[Hour]:[Hour]]&gt;=BT$2),1,0)</calculatedColumnFormula>
    </tableColumn>
    <tableColumn id="83" xr3:uid="{27C9395E-8B81-4CBA-8523-A330679CAE04}" name="9-1" dataDxfId="196">
      <calculatedColumnFormula array="1">IF(AND(BU$2&lt;&gt;0,TblTech[[#This Row],[Hour]:[Hour]]&gt;=BU$2),1,0)</calculatedColumnFormula>
    </tableColumn>
    <tableColumn id="84" xr3:uid="{90667EBE-7747-4976-9947-BD9386AEC90C}" name="9-2" dataDxfId="195">
      <calculatedColumnFormula array="1">IF(AND(BV$2&lt;&gt;0,TblTech[[#This Row],[Hour]:[Hour]]&gt;=BV$2),1,0)</calculatedColumnFormula>
    </tableColumn>
    <tableColumn id="85" xr3:uid="{8AA93356-F62A-4D0B-B2F8-5CADB2567ECF}" name="9-3" dataDxfId="194">
      <calculatedColumnFormula array="1">IF(AND(BW$2&lt;&gt;0,TblTech[[#This Row],[Hour]:[Hour]]&gt;=BW$2),1,0)</calculatedColumnFormula>
    </tableColumn>
    <tableColumn id="86" xr3:uid="{C66AB8D9-7BBC-415A-8732-B5DF0FF2495D}" name="10-1" dataDxfId="193">
      <calculatedColumnFormula array="1">IF(AND(BX$2&lt;&gt;0,TblTech[[#This Row],[Hour]:[Hour]]&gt;=BX$2),1,0)</calculatedColumnFormula>
    </tableColumn>
    <tableColumn id="87" xr3:uid="{13FA2B9A-3F31-4A51-9E2B-753CC6C8AA88}" name="10-2" dataDxfId="192">
      <calculatedColumnFormula array="1">IF(AND(BY$2&lt;&gt;0,TblTech[[#This Row],[Hour]:[Hour]]&gt;=BY$2),1,0)</calculatedColumnFormula>
    </tableColumn>
    <tableColumn id="88" xr3:uid="{D4F65702-E3D7-4783-B103-20F8DD7E4532}" name="11-1" dataDxfId="191">
      <calculatedColumnFormula array="1">IF(AND(BZ$2&lt;&gt;0,TblTech[[#This Row],[Hour]:[Hour]]&gt;=BZ$2),1,0)</calculatedColumnFormula>
    </tableColumn>
    <tableColumn id="89" xr3:uid="{0428044E-0525-4B76-80C9-2D449BDFDA1D}" name="Tech" dataDxfId="190">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89" dataDxfId="187" headerRowBorderDxfId="188" tableBorderDxfId="186">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85">
      <calculatedColumnFormula>TblConstr[[#This Row],[Land]]</calculatedColumnFormula>
    </tableColumn>
    <tableColumn id="2" xr3:uid="{AF6EC8F3-9D95-46FD-B967-FAAF3638AE73}" name="." dataDxfId="184"/>
    <tableColumn id="3" xr3:uid="{FF282ACC-05AC-4142-89E7-09EE52E6FD72}" name="Platinum" dataDxfId="183">
      <calculatedColumnFormula>TblProd[[#This Row],[Platinum]]</calculatedColumnFormula>
    </tableColumn>
    <tableColumn id="4" xr3:uid="{F2178B14-2531-41FE-8DC7-F919571A183A}" name="Lumber" dataDxfId="182">
      <calculatedColumnFormula>TblProd[[#This Row],[Lumber]]</calculatedColumnFormula>
    </tableColumn>
    <tableColumn id="5" xr3:uid="{E437C993-EDEE-4BB3-942B-73180B524B81}" name="Ore" dataDxfId="181">
      <calculatedColumnFormula>TblProd[[#This Row],[Ore]]</calculatedColumnFormula>
    </tableColumn>
    <tableColumn id="6" xr3:uid="{C515063B-AE7C-4BAF-93AB-7443CE68AC54}" name="Gems" dataDxfId="180">
      <calculatedColumnFormula>TblProd[[#This Row],[Gems]]</calculatedColumnFormula>
    </tableColumn>
    <tableColumn id="7" xr3:uid="{935F3905-1AC4-42EE-8A78-476F2F815DFD}" name=".." dataDxfId="179"/>
    <tableColumn id="8" xr3:uid="{A8E01FC0-2F13-4C73-B50D-1FA1083B0FFA}" name="Drafees" dataDxfId="178">
      <calculatedColumnFormula>TblMili[[#This Row],[Draftees]]</calculatedColumnFormula>
    </tableColumn>
    <tableColumn id="9" xr3:uid="{FF70B178-883B-4FA3-B446-2BB364451655}" name="Employed" dataDxfId="177" dataCellStyle="Percent">
      <calculatedColumnFormula>TblPop[[#This Row],[Employment]]</calculatedColumnFormula>
    </tableColumn>
    <tableColumn id="10" xr3:uid="{8AB351E3-8FED-4F8D-951B-AA2D279B0091}" name="Population" dataDxfId="176" dataCellStyle="Percent">
      <calculatedColumnFormula>TblPop[[#This Row],[Total]]/TblPop[[#This Row],[Net max]]</calculatedColumnFormula>
    </tableColumn>
    <tableColumn id="11" xr3:uid="{3D13675F-4203-4882-AC02-B7629E90679D}" name="Hour" dataDxfId="175" dataCellStyle="Percent">
      <calculatedColumnFormula>TblRezone[[#This Row],[Hour]]</calculatedColumnFormula>
    </tableColumn>
    <tableColumn id="12" xr3:uid="{50E3FF0B-DB5B-4715-971A-2D8F804DD3F4}" name="Time" dataDxfId="174" dataCellStyle="Percent">
      <calculatedColumnFormula>TblImps[[#This Row],[Real time]]</calculatedColumnFormula>
    </tableColumn>
    <tableColumn id="13" xr3:uid="{33373A28-E349-4A6C-946C-A172D9829897}" name="Login" dataDxfId="173">
      <calculatedColumnFormula>IF(ISERROR(TblImps[[#This Row],[algorithm]]),0,TblImps[[#This Row],[algorithm]]*1)</calculatedColumnFormula>
    </tableColumn>
    <tableColumn id="14" xr3:uid="{820813AE-0D29-4E3D-B99A-7C5B810B4DA6}" name="Land (3)" dataDxfId="172">
      <calculatedColumnFormula>TblImps[[#This Row],[Land]]</calculatedColumnFormula>
    </tableColumn>
    <tableColumn id="15" xr3:uid="{D8234223-045A-48CE-8E60-8B1B718D1273}" name="Resource" dataDxfId="171"/>
    <tableColumn id="16" xr3:uid="{9AB57DEC-DF25-44AD-97D1-1EF820C63FF2}" name="Amount" dataDxfId="170"/>
    <tableColumn id="17" xr3:uid="{1ECA1762-52EB-4370-862C-42E5B7F71087}" name="Part" dataDxfId="169"/>
    <tableColumn id="18" xr3:uid="{45AD7F60-4F2F-47B2-8046-04C9C5A445EE}" name="Resource 2" dataDxfId="168"/>
    <tableColumn id="19" xr3:uid="{1D8720C7-5940-4FF1-AF3B-FB70E475E9BA}" name="Amount 2" dataDxfId="167"/>
    <tableColumn id="20" xr3:uid="{1AF884E5-0A32-404F-8142-8BDFCA31C5EF}" name="Part 2" dataDxfId="166"/>
    <tableColumn id="21" xr3:uid="{FFCC36EF-B2F1-46BE-827C-260D53435D8F}" name="Resource 3" dataDxfId="165"/>
    <tableColumn id="22" xr3:uid="{AAD98AF1-A248-4594-A8A2-ADB665DABE8F}" name="Amount 3" dataDxfId="164"/>
    <tableColumn id="23" xr3:uid="{5BDF5795-C792-45A5-AC6D-35BE17C06BBC}" name="Part 3" dataDxfId="163"/>
    <tableColumn id="24" xr3:uid="{AB1402EA-4B4E-4F7F-B76D-14CCFC4BF881}" name="…" dataDxfId="162"/>
    <tableColumn id="25" xr3:uid="{C82B3C56-E90F-4536-A41D-465C61544B49}" name="Science" dataDxfId="161">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60">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159">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158">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57">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156">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155"/>
    <tableColumn id="32" xr3:uid="{C7C4061A-6DA9-4687-A437-B442C90A5089}" name="Σ Science" dataDxfId="154">
      <calculatedColumnFormula>(1+Overview!$I$29)*SUM(TblImps[[#This Row],[P2]:[G2]])+OFFSET(TblImps[[#This Row],[Σ Science]],-1,0)</calculatedColumnFormula>
    </tableColumn>
    <tableColumn id="33" xr3:uid="{87424BBC-4CC9-4173-85AC-5C6A6ECFFB84}" name="Σ Keep" dataDxfId="153">
      <calculatedColumnFormula>(1+Overview!$I$29)*SUM(TblImps[[#This Row],[P3]:[G3]])+OFFSET(TblImps[[#This Row],[Σ Keep]],-1,0)</calculatedColumnFormula>
    </tableColumn>
    <tableColumn id="34" xr3:uid="{3DB81FE6-4CBC-4F36-973D-C8F8D1BD09A1}" name="Σ Spires" dataDxfId="152">
      <calculatedColumnFormula>(1+Overview!$I$29 + tech_7_1*TblTech[[#This Row],[7-1]])*SUM(TblImps[[#This Row],[P4]:[G4]])+OFFSET(TblImps[[#This Row],[Σ Spires]],-1,0)</calculatedColumnFormula>
    </tableColumn>
    <tableColumn id="35" xr3:uid="{485A62F9-7EE3-40A9-BDA7-9F3E4E3EC0E1}" name="Σ Forges" dataDxfId="151">
      <calculatedColumnFormula>(1+Overview!$I$29)*SUM(TblImps[[#This Row],[P5]:[G5]])+OFFSET(TblImps[[#This Row],[Σ Forges]],-1,0)</calculatedColumnFormula>
    </tableColumn>
    <tableColumn id="36" xr3:uid="{CEDFD8F7-5AA6-4236-AE0F-14B6F23AE524}" name="Σ Walls" dataDxfId="150">
      <calculatedColumnFormula>(1+Overview!$I$29)*SUM(TblImps[[#This Row],[P6]:[G6]])+OFFSET(TblImps[[#This Row],[Σ Walls]],-1,0)</calculatedColumnFormula>
    </tableColumn>
    <tableColumn id="37" xr3:uid="{1C140D1F-1021-4314-82BD-7176A05B078C}" name="Σ Harbor" dataDxfId="149">
      <calculatedColumnFormula>(1+Overview!$I$29 + tech_7_1*TblTech[[#This Row],[7-1]])*SUM(TblImps[[#This Row],[P7]:[G7]])+OFFSET(TblImps[[#This Row],[Σ Harbor]],-1,0)</calculatedColumnFormula>
    </tableColumn>
    <tableColumn id="38" xr3:uid="{808772B5-D74B-4C2E-9369-56BA268972E4}" name="….." dataDxfId="148"/>
    <tableColumn id="39" xr3:uid="{A732ACBF-AEA8-4BC8-8A5C-C0F5525B84B4}" name="P1" dataDxfId="147">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46">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45">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44">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43"/>
    <tableColumn id="44" xr3:uid="{B4E4C91D-5302-4D99-9223-7DC08C0F56E2}" name="P2" dataDxfId="142">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41">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40">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39">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38"/>
    <tableColumn id="49" xr3:uid="{2713D17E-C072-4464-ACFB-1E3B4E4768C8}" name="P3" dataDxfId="137">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36">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35">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34">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33"/>
    <tableColumn id="54" xr3:uid="{60744F8B-EA90-4F3F-908D-1DBF81E4FBBC}" name="P4" dataDxfId="132">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31">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30">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29">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28"/>
    <tableColumn id="59" xr3:uid="{7CAD4FEB-38C3-4ECC-9BB4-566F90D38057}" name="P5" dataDxfId="127">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26">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25">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24">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23"/>
    <tableColumn id="64" xr3:uid="{74BD3EE9-84CB-4606-9851-F46947A6E124}" name="P6" dataDxfId="122">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21">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20">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19">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18"/>
    <tableColumn id="69" xr3:uid="{C84893E8-5E85-463B-9E51-879ADAA64B83}" name="P7" dataDxfId="117">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16">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15">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14">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13"/>
    <tableColumn id="74" xr3:uid="{5E81B67E-95F1-40DA-AE37-BCD09DA9E039}" name="algorithm" dataDxfId="112">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11">
      <calculatedColumnFormula>TblImps[[#This Row],[Login]]</calculatedColumnFormula>
    </tableColumn>
    <tableColumn id="76" xr3:uid="{373275D8-3CBB-4F26-950F-26616E92A24E}" name="….........." dataDxfId="110"/>
    <tableColumn id="77" xr3:uid="{E49F0585-8289-43E9-991C-7685E6B37B5A}" name="Real time" dataDxfId="109">
      <calculatedColumnFormula>OFFSET(TblImps[[#This Row],[Real time]],-1,0)+1/24</calculatedColumnFormula>
    </tableColumn>
    <tableColumn id="78" xr3:uid="{9298E765-5AD3-4871-BC34-97C5588F3D7E}" name="Servertime" dataDxfId="108">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07" dataDxfId="106">
  <autoFilter ref="B2:E23" xr:uid="{D5B14ACA-C49B-4874-B495-C20CC986FF5C}"/>
  <tableColumns count="4">
    <tableColumn id="1" xr3:uid="{FDF1E222-5EC6-4F67-8D2F-219358D518C5}" name="Stats" dataDxfId="105"/>
    <tableColumn id="9" xr3:uid="{92C958C2-2DCD-4CDD-88AA-98294134A916}" name="Abbr" dataDxfId="104"/>
    <tableColumn id="2" xr3:uid="{1E0B1FDB-30FB-48CA-BD3D-8DF2FCB4975C}" name="Number" dataDxfId="103">
      <calculatedColumnFormula>_xlfn.IFNA(INDEX(TblConstr[],MATCH(Log!$I$28,TblConstr[Hour],0),MATCH(TblStats[[#This Row],[Abbr]],TblConstr[#Headers],0)),0)</calculatedColumnFormula>
    </tableColumn>
    <tableColumn id="3" xr3:uid="{ADBF0C8B-030F-4EBA-8274-EAA1CE134BB1}" name="Percent" dataDxfId="102"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100" dataDxfId="99" tableBorderDxfId="98">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97"/>
    <tableColumn id="2" xr3:uid="{00000000-0010-0000-0100-000002000000}" name="Alignment" dataDxfId="96"/>
    <tableColumn id="3" xr3:uid="{00000000-0010-0000-0100-000003000000}" name="Homeland_Type" dataDxfId="95"/>
    <tableColumn id="4" xr3:uid="{00000000-0010-0000-0100-000004000000}" name="Unitname" dataDxfId="94"/>
    <tableColumn id="5" xr3:uid="{00000000-0010-0000-0100-000005000000}" name="OffensePwr" dataDxfId="93"/>
    <tableColumn id="6" xr3:uid="{00000000-0010-0000-0100-000006000000}" name="DefensePwr" dataDxfId="92"/>
    <tableColumn id="7" xr3:uid="{00000000-0010-0000-0100-000007000000}" name="Platcost" dataDxfId="91"/>
    <tableColumn id="8" xr3:uid="{00000000-0010-0000-0100-000008000000}" name="Orecost" dataDxfId="90"/>
    <tableColumn id="9" xr3:uid="{00000000-0010-0000-0100-000009000000}" name="Networth" dataDxfId="89"/>
    <tableColumn id="12" xr3:uid="{00000000-0010-0000-0100-00000C000000}" name="Max population" dataDxfId="88"/>
    <tableColumn id="13" xr3:uid="{00000000-0010-0000-0100-00000D000000}" name="Pop growth" dataDxfId="87"/>
    <tableColumn id="14" xr3:uid="{00000000-0010-0000-0100-00000E000000}" name="Platinum prod" dataDxfId="86"/>
    <tableColumn id="15" xr3:uid="{00000000-0010-0000-0100-00000F000000}" name="Food prod" dataDxfId="85"/>
    <tableColumn id="16" xr3:uid="{00000000-0010-0000-0100-000010000000}" name="Lumber prod" dataDxfId="84"/>
    <tableColumn id="17" xr3:uid="{00000000-0010-0000-0100-000011000000}" name="Mana prod" dataDxfId="83"/>
    <tableColumn id="18" xr3:uid="{00000000-0010-0000-0100-000012000000}" name="Ore prod" dataDxfId="82"/>
    <tableColumn id="19" xr3:uid="{00000000-0010-0000-0100-000013000000}" name="Gem prod" dataDxfId="81"/>
    <tableColumn id="20" xr3:uid="{00000000-0010-0000-0100-000014000000}" name="Food cons" dataDxfId="80"/>
    <tableColumn id="21" xr3:uid="{00000000-0010-0000-0100-000015000000}" name="Defense" dataDxfId="79"/>
    <tableColumn id="22" xr3:uid="{00000000-0010-0000-0100-000016000000}" name="Offense" dataDxfId="78"/>
    <tableColumn id="23" xr3:uid="{00000000-0010-0000-0100-000017000000}" name="Spy strength" dataDxfId="77"/>
    <tableColumn id="24" xr3:uid="{00000000-0010-0000-0100-000018000000}" name="Wizard strength" dataDxfId="76"/>
    <tableColumn id="25" xr3:uid="{00000000-0010-0000-0100-000019000000}" name="Invest bonus" dataDxfId="75"/>
    <tableColumn id="26" xr3:uid="{00000000-0010-0000-0100-00001A000000}" name="Rezone Cost" dataDxfId="74" dataCellStyle="Percent"/>
    <tableColumn id="27" xr3:uid="{00000000-0010-0000-0100-00001B000000}" name="Construction Cost" dataDxfId="73"/>
    <tableColumn id="28" xr3:uid="{00000000-0010-0000-0100-00001C000000}" name="Research" dataDxfId="72"/>
    <tableColumn id="10" xr3:uid="{93A4F69F-9C60-42FB-B0E6-B78AAB579797}" name="Explore Cost" dataDxfId="71"/>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70" dataDxfId="69">
  <autoFilter ref="D98:D104" xr:uid="{00000000-0009-0000-0100-000002000000}"/>
  <tableColumns count="1">
    <tableColumn id="1" xr3:uid="{00000000-0010-0000-0200-000001000000}" name="waves:" dataDxfId="68"/>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5" t="s">
        <v>449</v>
      </c>
      <c r="B1" s="485"/>
      <c r="C1" s="485"/>
      <c r="D1" s="485"/>
      <c r="E1" s="485"/>
      <c r="F1" s="485"/>
      <c r="G1" s="485"/>
      <c r="H1" s="485"/>
      <c r="I1" s="485"/>
      <c r="J1" s="485"/>
      <c r="K1" s="485"/>
      <c r="L1" s="486"/>
      <c r="M1" s="492" t="s">
        <v>1036</v>
      </c>
      <c r="N1" s="493"/>
      <c r="O1" s="494"/>
    </row>
    <row r="2" spans="1:15" s="44" customFormat="1" ht="12.75" customHeight="1" x14ac:dyDescent="0.2">
      <c r="A2" s="521" t="s">
        <v>1073</v>
      </c>
      <c r="B2" s="522"/>
      <c r="C2" s="522"/>
      <c r="D2" s="522"/>
      <c r="E2" s="522"/>
      <c r="F2" s="522"/>
      <c r="G2" s="522"/>
      <c r="H2" s="522"/>
      <c r="I2" s="522"/>
      <c r="J2" s="522"/>
      <c r="K2" s="522"/>
      <c r="L2" s="523"/>
      <c r="M2" s="509" t="s">
        <v>1104</v>
      </c>
      <c r="N2" s="510"/>
      <c r="O2" s="511"/>
    </row>
    <row r="3" spans="1:15" s="44" customFormat="1" x14ac:dyDescent="0.2">
      <c r="A3" s="521"/>
      <c r="B3" s="522"/>
      <c r="C3" s="522"/>
      <c r="D3" s="522"/>
      <c r="E3" s="522"/>
      <c r="F3" s="522"/>
      <c r="G3" s="522"/>
      <c r="H3" s="522"/>
      <c r="I3" s="522"/>
      <c r="J3" s="522"/>
      <c r="K3" s="522"/>
      <c r="L3" s="523"/>
      <c r="M3" s="509"/>
      <c r="N3" s="510"/>
      <c r="O3" s="511"/>
    </row>
    <row r="4" spans="1:15" s="44" customFormat="1" x14ac:dyDescent="0.2">
      <c r="A4" s="521"/>
      <c r="B4" s="522"/>
      <c r="C4" s="522"/>
      <c r="D4" s="522"/>
      <c r="E4" s="522"/>
      <c r="F4" s="522"/>
      <c r="G4" s="522"/>
      <c r="H4" s="522"/>
      <c r="I4" s="522"/>
      <c r="J4" s="522"/>
      <c r="K4" s="522"/>
      <c r="L4" s="523"/>
      <c r="M4" s="509"/>
      <c r="N4" s="510"/>
      <c r="O4" s="511"/>
    </row>
    <row r="5" spans="1:15" s="44" customFormat="1" x14ac:dyDescent="0.2">
      <c r="A5" s="521"/>
      <c r="B5" s="522"/>
      <c r="C5" s="522"/>
      <c r="D5" s="522"/>
      <c r="E5" s="522"/>
      <c r="F5" s="522"/>
      <c r="G5" s="522"/>
      <c r="H5" s="522"/>
      <c r="I5" s="522"/>
      <c r="J5" s="522"/>
      <c r="K5" s="522"/>
      <c r="L5" s="523"/>
      <c r="M5" s="509"/>
      <c r="N5" s="510"/>
      <c r="O5" s="511"/>
    </row>
    <row r="6" spans="1:15" s="44" customFormat="1" x14ac:dyDescent="0.2">
      <c r="A6" s="521"/>
      <c r="B6" s="522"/>
      <c r="C6" s="522"/>
      <c r="D6" s="522"/>
      <c r="E6" s="522"/>
      <c r="F6" s="522"/>
      <c r="G6" s="522"/>
      <c r="H6" s="522"/>
      <c r="I6" s="522"/>
      <c r="J6" s="522"/>
      <c r="K6" s="522"/>
      <c r="L6" s="523"/>
      <c r="M6" s="509"/>
      <c r="N6" s="510"/>
      <c r="O6" s="511"/>
    </row>
    <row r="7" spans="1:15" s="44" customFormat="1" ht="13.5" thickBot="1" x14ac:dyDescent="0.25">
      <c r="A7" s="524"/>
      <c r="B7" s="525"/>
      <c r="C7" s="525"/>
      <c r="D7" s="525"/>
      <c r="E7" s="525"/>
      <c r="F7" s="525"/>
      <c r="G7" s="525"/>
      <c r="H7" s="525"/>
      <c r="I7" s="525"/>
      <c r="J7" s="525"/>
      <c r="K7" s="525"/>
      <c r="L7" s="526"/>
      <c r="M7" s="509"/>
      <c r="N7" s="510"/>
      <c r="O7" s="511"/>
    </row>
    <row r="8" spans="1:15" s="44" customFormat="1" ht="15.75" x14ac:dyDescent="0.2">
      <c r="A8" s="487" t="s">
        <v>448</v>
      </c>
      <c r="B8" s="488"/>
      <c r="C8" s="488"/>
      <c r="D8" s="488"/>
      <c r="E8" s="488"/>
      <c r="F8" s="488"/>
      <c r="G8" s="488"/>
      <c r="H8" s="488"/>
      <c r="I8" s="489"/>
      <c r="J8" s="495" t="s">
        <v>1163</v>
      </c>
      <c r="K8" s="496"/>
      <c r="L8" s="497"/>
      <c r="M8" s="512"/>
      <c r="N8" s="513"/>
      <c r="O8" s="514"/>
    </row>
    <row r="9" spans="1:15" s="44" customFormat="1" ht="12.75" customHeight="1" x14ac:dyDescent="0.2">
      <c r="A9" s="490" t="s">
        <v>1164</v>
      </c>
      <c r="B9" s="491"/>
      <c r="C9" s="491"/>
      <c r="D9" s="491"/>
      <c r="E9" s="491"/>
      <c r="F9" s="491"/>
      <c r="G9" s="491"/>
      <c r="H9" s="491"/>
      <c r="I9" s="491"/>
      <c r="J9" s="498"/>
      <c r="K9" s="499"/>
      <c r="L9" s="500"/>
      <c r="M9" s="512"/>
      <c r="N9" s="513"/>
      <c r="O9" s="514"/>
    </row>
    <row r="10" spans="1:15" s="44" customFormat="1" ht="12.75" customHeight="1" x14ac:dyDescent="0.2">
      <c r="A10" s="490"/>
      <c r="B10" s="491"/>
      <c r="C10" s="491"/>
      <c r="D10" s="491"/>
      <c r="E10" s="491"/>
      <c r="F10" s="491"/>
      <c r="G10" s="491"/>
      <c r="H10" s="491"/>
      <c r="I10" s="491"/>
      <c r="J10" s="498"/>
      <c r="K10" s="499"/>
      <c r="L10" s="500"/>
      <c r="M10" s="512"/>
      <c r="N10" s="513"/>
      <c r="O10" s="514"/>
    </row>
    <row r="11" spans="1:15" s="44" customFormat="1" ht="12.75" customHeight="1" x14ac:dyDescent="0.2">
      <c r="A11" s="490"/>
      <c r="B11" s="491"/>
      <c r="C11" s="491"/>
      <c r="D11" s="491"/>
      <c r="E11" s="491"/>
      <c r="F11" s="491"/>
      <c r="G11" s="491"/>
      <c r="H11" s="491"/>
      <c r="I11" s="491"/>
      <c r="J11" s="498"/>
      <c r="K11" s="499"/>
      <c r="L11" s="500"/>
      <c r="M11" s="512"/>
      <c r="N11" s="513"/>
      <c r="O11" s="514"/>
    </row>
    <row r="12" spans="1:15" s="44" customFormat="1" ht="28.5" customHeight="1" thickBot="1" x14ac:dyDescent="0.25">
      <c r="A12" s="490"/>
      <c r="B12" s="491"/>
      <c r="C12" s="491"/>
      <c r="D12" s="491"/>
      <c r="E12" s="491"/>
      <c r="F12" s="491"/>
      <c r="G12" s="491"/>
      <c r="H12" s="491"/>
      <c r="I12" s="491"/>
      <c r="J12" s="501"/>
      <c r="K12" s="502"/>
      <c r="L12" s="503"/>
      <c r="M12" s="515"/>
      <c r="N12" s="516"/>
      <c r="O12" s="517"/>
    </row>
    <row r="13" spans="1:15" s="44" customFormat="1" ht="25.5" customHeight="1" thickBot="1" x14ac:dyDescent="0.25">
      <c r="A13" s="518" t="s">
        <v>256</v>
      </c>
      <c r="B13" s="519"/>
      <c r="C13" s="520"/>
      <c r="D13" s="520"/>
      <c r="E13" s="520"/>
      <c r="F13" s="520"/>
      <c r="G13" s="520"/>
      <c r="H13" s="520"/>
      <c r="I13" s="520"/>
      <c r="J13" s="520"/>
      <c r="K13" s="520"/>
      <c r="L13" s="520"/>
      <c r="M13" s="520"/>
      <c r="N13" s="520"/>
      <c r="O13" s="520"/>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45873.961534722221</v>
      </c>
      <c r="H16" s="45" t="s">
        <v>163</v>
      </c>
      <c r="I16" s="54">
        <f>INDEX(TblRaces[[Max population]:[Explore Cost]],MATCH(race,TblRaces[Race],0),MATCH(Table4[[#This Row],[Race Bonuses]],TblRaces[[#Headers],[Max population]:[Explore Cost]],0))</f>
        <v>0</v>
      </c>
      <c r="K16" s="45" t="s">
        <v>170</v>
      </c>
      <c r="L16" s="474">
        <v>0</v>
      </c>
      <c r="M16" s="478" t="s">
        <v>1157</v>
      </c>
      <c r="O16" s="51"/>
    </row>
    <row r="17" spans="1:15" s="44" customFormat="1" ht="12.75" customHeight="1" thickBot="1" x14ac:dyDescent="0.25">
      <c r="A17" s="45" t="s">
        <v>319</v>
      </c>
      <c r="B17" s="55">
        <f ca="1">TODAY()</f>
        <v>45873</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1158</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1159</v>
      </c>
      <c r="O18" s="51"/>
    </row>
    <row r="19" spans="1:15" s="44" customFormat="1" x14ac:dyDescent="0.2">
      <c r="H19" s="45" t="s">
        <v>107</v>
      </c>
      <c r="I19" s="54">
        <f>INDEX(TblRaces[[Max population]:[Explore Cost]],MATCH(race,TblRaces[Race],0),MATCH(Table4[[#This Row],[Race Bonuses]],TblRaces[[#Headers],[Max population]:[Explore Cost]],0))</f>
        <v>0.05</v>
      </c>
      <c r="J19" s="49"/>
      <c r="K19" s="45" t="s">
        <v>1153</v>
      </c>
      <c r="L19" s="472">
        <v>0</v>
      </c>
      <c r="M19" s="477" t="s">
        <v>1160</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1149</v>
      </c>
      <c r="L20" s="472">
        <v>0</v>
      </c>
      <c r="M20" s="477" t="s">
        <v>1161</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1150</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1147</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1146</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1148</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1152</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1154</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1155</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1145</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1151</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07" t="s">
        <v>375</v>
      </c>
      <c r="B36" s="483"/>
      <c r="C36" s="483"/>
      <c r="D36" s="483"/>
      <c r="E36" s="483"/>
      <c r="F36" s="483"/>
      <c r="G36" s="483"/>
      <c r="H36" s="483"/>
      <c r="I36" s="483"/>
      <c r="J36" s="508"/>
      <c r="K36" s="508"/>
      <c r="L36" s="508"/>
      <c r="M36" s="508"/>
      <c r="N36" s="508"/>
      <c r="O36" s="508"/>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5"/>
      <c r="L39" s="504" t="s">
        <v>427</v>
      </c>
      <c r="M39" s="504"/>
      <c r="N39" s="504"/>
      <c r="O39" s="505"/>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5"/>
      <c r="L40" s="504"/>
      <c r="M40" s="504"/>
      <c r="N40" s="504"/>
      <c r="O40" s="505"/>
      <c r="R40" s="467"/>
      <c r="S40" s="467"/>
      <c r="T40" s="467"/>
      <c r="U40" s="467"/>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5"/>
      <c r="L41" s="504"/>
      <c r="M41" s="504"/>
      <c r="N41" s="504"/>
      <c r="O41" s="505"/>
      <c r="R41" s="467"/>
      <c r="S41" s="467"/>
      <c r="T41" s="467"/>
      <c r="U41" s="467"/>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4"/>
      <c r="L42" s="482" t="s">
        <v>447</v>
      </c>
      <c r="M42" s="482"/>
      <c r="N42" s="482"/>
      <c r="O42" s="506"/>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2"/>
      <c r="M43" s="482"/>
      <c r="N43" s="482"/>
      <c r="O43" s="506"/>
      <c r="R43" s="468"/>
      <c r="S43" s="468"/>
      <c r="T43" s="468"/>
      <c r="U43" s="468"/>
    </row>
    <row r="44" spans="1:21" ht="12.75" customHeight="1" x14ac:dyDescent="0.2">
      <c r="A44" s="101" t="s">
        <v>24</v>
      </c>
      <c r="B44" s="94">
        <f ca="1">F44</f>
        <v>477</v>
      </c>
      <c r="C44" s="101"/>
      <c r="E44" s="102"/>
      <c r="F44" s="94">
        <f ca="1">Military!AA52</f>
        <v>477</v>
      </c>
      <c r="H44" s="94">
        <f ca="1">F44*(1+$G$39)</f>
        <v>477</v>
      </c>
      <c r="I44" s="89" t="s">
        <v>418</v>
      </c>
      <c r="J44" s="44"/>
      <c r="K44" s="465"/>
      <c r="L44" s="504" t="s">
        <v>445</v>
      </c>
      <c r="M44" s="504"/>
      <c r="N44" s="504"/>
      <c r="O44" s="505"/>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4"/>
      <c r="M45" s="504"/>
      <c r="N45" s="504"/>
      <c r="O45" s="505"/>
      <c r="R45" s="467"/>
      <c r="S45" s="467"/>
      <c r="T45" s="467"/>
      <c r="U45" s="467"/>
    </row>
    <row r="46" spans="1:21" ht="13.5" thickTop="1" x14ac:dyDescent="0.2">
      <c r="C46" s="101"/>
      <c r="E46" s="102"/>
      <c r="F46" s="35">
        <f ca="1">F44+F43+F45</f>
        <v>477</v>
      </c>
      <c r="H46" s="100">
        <f ca="1">H44+H43+H45</f>
        <v>477</v>
      </c>
      <c r="I46" s="89"/>
      <c r="J46" s="44"/>
      <c r="K46" s="465"/>
      <c r="L46" s="504"/>
      <c r="M46" s="504"/>
      <c r="N46" s="504"/>
      <c r="O46" s="505"/>
      <c r="R46" s="467"/>
      <c r="S46" s="467"/>
      <c r="T46" s="467"/>
      <c r="U46" s="467"/>
    </row>
    <row r="47" spans="1:21" x14ac:dyDescent="0.2">
      <c r="A47" s="44"/>
      <c r="B47" s="44"/>
      <c r="C47" s="44"/>
      <c r="D47" s="481"/>
      <c r="E47" s="481"/>
      <c r="F47" s="481"/>
      <c r="G47" s="481"/>
      <c r="H47" s="481"/>
      <c r="I47" s="44"/>
      <c r="J47" s="44"/>
      <c r="K47" s="44"/>
      <c r="L47" s="44"/>
      <c r="M47" s="44"/>
      <c r="N47" s="44"/>
      <c r="O47" s="51"/>
      <c r="R47" s="467"/>
      <c r="S47" s="467"/>
      <c r="T47" s="467"/>
      <c r="U47" s="467"/>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3" t="s">
        <v>1144</v>
      </c>
      <c r="B49" s="415">
        <f ca="1">Military!J52</f>
        <v>0</v>
      </c>
      <c r="C49" s="44"/>
      <c r="D49" s="5" t="s">
        <v>252</v>
      </c>
      <c r="E49" s="57" t="s">
        <v>353</v>
      </c>
      <c r="F49" s="45" t="s">
        <v>1009</v>
      </c>
      <c r="G49" s="44"/>
      <c r="H49" s="50" t="s">
        <v>254</v>
      </c>
      <c r="I49" s="44"/>
      <c r="J49" s="44"/>
      <c r="K49" s="44"/>
      <c r="L49" s="482" t="s">
        <v>450</v>
      </c>
      <c r="M49" s="483"/>
      <c r="N49" s="483"/>
      <c r="O49" s="484"/>
    </row>
    <row r="50" spans="1:15" x14ac:dyDescent="0.2">
      <c r="A50" s="416" t="str">
        <f>A28</f>
        <v>Wizard</v>
      </c>
      <c r="B50" s="417">
        <f ca="1">Military!K52</f>
        <v>0</v>
      </c>
      <c r="C50" s="44"/>
      <c r="D50" s="47" t="s">
        <v>1</v>
      </c>
      <c r="E50" s="462">
        <f ca="1">Construction!BT52</f>
        <v>50</v>
      </c>
      <c r="F50" s="106">
        <v>1</v>
      </c>
      <c r="G50" s="44"/>
      <c r="H50" s="45" t="s">
        <v>255</v>
      </c>
      <c r="I50" s="107" t="s">
        <v>188</v>
      </c>
      <c r="J50" s="57" t="s">
        <v>227</v>
      </c>
      <c r="K50" s="44"/>
      <c r="L50" s="483"/>
      <c r="M50" s="483"/>
      <c r="N50" s="483"/>
      <c r="O50" s="484"/>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3"/>
      <c r="M51" s="483"/>
      <c r="N51" s="483"/>
      <c r="O51" s="484"/>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3"/>
      <c r="M52" s="483"/>
      <c r="N52" s="483"/>
      <c r="O52" s="484"/>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3"/>
      <c r="M53" s="483"/>
      <c r="N53" s="483"/>
      <c r="O53" s="484"/>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3"/>
      <c r="M54" s="483"/>
      <c r="N54" s="483"/>
      <c r="O54" s="484"/>
    </row>
    <row r="55" spans="1:15" x14ac:dyDescent="0.2">
      <c r="C55" s="44"/>
      <c r="D55" s="108" t="str">
        <f>Construction!BC3</f>
        <v>Tot Mas</v>
      </c>
      <c r="E55" s="45">
        <f ca="1">Construction!BC52</f>
        <v>0</v>
      </c>
      <c r="F55" s="110">
        <f t="shared" ca="1" si="0"/>
        <v>0</v>
      </c>
      <c r="G55" s="44"/>
      <c r="H55" s="44"/>
      <c r="I55" s="44"/>
      <c r="J55" s="44"/>
      <c r="K55" s="44"/>
      <c r="L55" s="210"/>
      <c r="M55" s="466"/>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66"/>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66"/>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66"/>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66"/>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66"/>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66"/>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66"/>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66"/>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66"/>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66"/>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66"/>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66"/>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66"/>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79" t="s">
        <v>286</v>
      </c>
      <c r="B76" s="480"/>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28" t="s">
        <v>23</v>
      </c>
      <c r="D1" s="528"/>
      <c r="E1" s="528"/>
      <c r="F1" s="528"/>
      <c r="G1" s="528"/>
      <c r="H1" s="528"/>
      <c r="I1" s="528"/>
      <c r="J1" s="28"/>
      <c r="K1" s="28"/>
      <c r="L1" s="528" t="s">
        <v>22</v>
      </c>
      <c r="M1" s="528"/>
      <c r="N1" s="528"/>
      <c r="O1" s="528"/>
      <c r="P1" s="528"/>
      <c r="Q1" s="528"/>
      <c r="R1" s="528"/>
      <c r="S1" s="528"/>
      <c r="U1" s="528" t="s">
        <v>163</v>
      </c>
      <c r="V1" s="529"/>
      <c r="W1" s="528" t="s">
        <v>167</v>
      </c>
      <c r="X1" s="528"/>
      <c r="Y1" s="528"/>
      <c r="Z1" s="528"/>
      <c r="AA1" s="528" t="s">
        <v>172</v>
      </c>
      <c r="AB1" s="529"/>
      <c r="AC1" s="529"/>
      <c r="AD1" s="529"/>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45815.041666666664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45815.083333333328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45815.124999999993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45815.166666666657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45815.208333333321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45815.249999999985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45815.29166666665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45815.333333333314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45815.374999999978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45815.416666666642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45815.458333333307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45815.541666666635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45815.583333333299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45815.624999999964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45815.666666666628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45815.708333333292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45815.749999999956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45815.791666666621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45815.833333333285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45815.874999999949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45815.916666666613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45815.958333333278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27" t="s">
        <v>314</v>
      </c>
      <c r="D1269" s="483"/>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0" t="s">
        <v>247</v>
      </c>
      <c r="T1" s="530"/>
      <c r="U1" s="530"/>
      <c r="AA1" s="530" t="s">
        <v>85</v>
      </c>
      <c r="AB1" s="530"/>
      <c r="AH1" s="530" t="s">
        <v>164</v>
      </c>
      <c r="AI1" s="530"/>
      <c r="AJ1" s="530"/>
      <c r="AK1" s="530"/>
      <c r="AL1" s="530"/>
      <c r="AM1" s="530"/>
      <c r="AO1" s="5" t="s">
        <v>19</v>
      </c>
      <c r="AT1" s="530" t="s">
        <v>184</v>
      </c>
      <c r="AU1" s="530"/>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45815.041666666664</v>
      </c>
      <c r="C5" s="537"/>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Demonic Pact]]&gt;0,demonic_pact_food_cons,0))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537"/>
      <c r="BB5" s="45">
        <f>TblProd[[#This Row],[Hour]]</f>
        <v>2</v>
      </c>
      <c r="BC5" s="538">
        <f>-TblProd[[#This Row],[Bank Lumber]] / 2 + -TblProd[[#This Row],[Bank Gems]] * 2 + -TblProd[[#This Row],[Bank Ore]] / 2</f>
        <v>0</v>
      </c>
      <c r="BD5" s="538"/>
      <c r="BE5" s="538"/>
      <c r="BF5" s="538"/>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45815.083333333328</v>
      </c>
      <c r="C6" s="537"/>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Demonic Pact]]&gt;0,demonic_pact_food_cons,0))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537"/>
      <c r="BB6" s="45">
        <f>TblProd[[#This Row],[Hour]]</f>
        <v>3</v>
      </c>
      <c r="BC6" s="538">
        <f>-TblProd[[#This Row],[Bank Lumber]] / 2 + -TblProd[[#This Row],[Bank Gems]] * 2 + -TblProd[[#This Row],[Bank Ore]] / 2</f>
        <v>0</v>
      </c>
      <c r="BD6" s="538"/>
      <c r="BE6" s="538"/>
      <c r="BF6" s="538"/>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45815.124999999993</v>
      </c>
      <c r="C7" s="537"/>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Demonic Pact]]&gt;0,demonic_pact_food_cons,0))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537"/>
      <c r="BB7" s="45">
        <f>TblProd[[#This Row],[Hour]]</f>
        <v>4</v>
      </c>
      <c r="BC7" s="538">
        <f>-TblProd[[#This Row],[Bank Lumber]] / 2 + -TblProd[[#This Row],[Bank Gems]] * 2 + -TblProd[[#This Row],[Bank Ore]] / 2</f>
        <v>0</v>
      </c>
      <c r="BD7" s="538"/>
      <c r="BE7" s="538"/>
      <c r="BF7" s="538"/>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45815.166666666657</v>
      </c>
      <c r="C8" s="537"/>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Demonic Pact]]&gt;0,demonic_pact_food_cons,0))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537"/>
      <c r="BB8" s="45">
        <f>TblProd[[#This Row],[Hour]]</f>
        <v>5</v>
      </c>
      <c r="BC8" s="538">
        <f>-TblProd[[#This Row],[Bank Lumber]] / 2 + -TblProd[[#This Row],[Bank Gems]] * 2 + -TblProd[[#This Row],[Bank Ore]] / 2</f>
        <v>0</v>
      </c>
      <c r="BD8" s="538"/>
      <c r="BE8" s="538"/>
      <c r="BF8" s="538"/>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45815.208333333321</v>
      </c>
      <c r="C9" s="537"/>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Demonic Pact]]&gt;0,demonic_pact_food_cons,0))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537"/>
      <c r="BB9" s="45">
        <f>TblProd[[#This Row],[Hour]]</f>
        <v>6</v>
      </c>
      <c r="BC9" s="538">
        <f>-TblProd[[#This Row],[Bank Lumber]] / 2 + -TblProd[[#This Row],[Bank Gems]] * 2 + -TblProd[[#This Row],[Bank Ore]] / 2</f>
        <v>0</v>
      </c>
      <c r="BD9" s="538"/>
      <c r="BE9" s="538"/>
      <c r="BF9" s="538"/>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45815.249999999985</v>
      </c>
      <c r="C10" s="537"/>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Demonic Pact]]&gt;0,demonic_pact_food_cons,0))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537"/>
      <c r="BB10" s="45">
        <f>TblProd[[#This Row],[Hour]]</f>
        <v>7</v>
      </c>
      <c r="BC10" s="538">
        <f>-TblProd[[#This Row],[Bank Lumber]] / 2 + -TblProd[[#This Row],[Bank Gems]] * 2 + -TblProd[[#This Row],[Bank Ore]] / 2</f>
        <v>0</v>
      </c>
      <c r="BD10" s="538"/>
      <c r="BE10" s="538"/>
      <c r="BF10" s="538"/>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45815.29166666665</v>
      </c>
      <c r="C11" s="537"/>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Demonic Pact]]&gt;0,demonic_pact_food_cons,0))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537"/>
      <c r="BB11" s="45">
        <f>TblProd[[#This Row],[Hour]]</f>
        <v>8</v>
      </c>
      <c r="BC11" s="538">
        <f>-TblProd[[#This Row],[Bank Lumber]] / 2 + -TblProd[[#This Row],[Bank Gems]] * 2 + -TblProd[[#This Row],[Bank Ore]] / 2</f>
        <v>0</v>
      </c>
      <c r="BD11" s="538"/>
      <c r="BE11" s="538"/>
      <c r="BF11" s="538"/>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45815.333333333314</v>
      </c>
      <c r="C12" s="537"/>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Demonic Pact]]&gt;0,demonic_pact_food_cons,0))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537"/>
      <c r="BB12" s="45">
        <f>TblProd[[#This Row],[Hour]]</f>
        <v>9</v>
      </c>
      <c r="BC12" s="538">
        <f>-TblProd[[#This Row],[Bank Lumber]] / 2 + -TblProd[[#This Row],[Bank Gems]] * 2 + -TblProd[[#This Row],[Bank Ore]] / 2</f>
        <v>0</v>
      </c>
      <c r="BD12" s="538"/>
      <c r="BE12" s="538"/>
      <c r="BF12" s="538"/>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45815.374999999978</v>
      </c>
      <c r="C13" s="537"/>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Demonic Pact]]&gt;0,demonic_pact_food_cons,0))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537"/>
      <c r="BB13" s="45">
        <f>TblProd[[#This Row],[Hour]]</f>
        <v>10</v>
      </c>
      <c r="BC13" s="538">
        <f>-TblProd[[#This Row],[Bank Lumber]] / 2 + -TblProd[[#This Row],[Bank Gems]] * 2 + -TblProd[[#This Row],[Bank Ore]] / 2</f>
        <v>0</v>
      </c>
      <c r="BD13" s="538"/>
      <c r="BE13" s="538"/>
      <c r="BF13" s="538"/>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45815.416666666642</v>
      </c>
      <c r="C14" s="537"/>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537"/>
      <c r="BB14" s="45">
        <f>TblProd[[#This Row],[Hour]]</f>
        <v>11</v>
      </c>
      <c r="BC14" s="538">
        <f>-TblProd[[#This Row],[Bank Lumber]] / 2 + -TblProd[[#This Row],[Bank Gems]] * 2 + -TblProd[[#This Row],[Bank Ore]] / 2</f>
        <v>0</v>
      </c>
      <c r="BD14" s="538"/>
      <c r="BE14" s="538"/>
      <c r="BF14" s="538"/>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45815.458333333307</v>
      </c>
      <c r="C15" s="537"/>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537"/>
      <c r="BB15" s="45">
        <f>TblProd[[#This Row],[Hour]]</f>
        <v>12</v>
      </c>
      <c r="BC15" s="538">
        <f>-TblProd[[#This Row],[Bank Lumber]] / 2 + -TblProd[[#This Row],[Bank Gems]] * 2 + -TblProd[[#This Row],[Bank Ore]] / 2</f>
        <v>0</v>
      </c>
      <c r="BD15" s="538"/>
      <c r="BE15" s="538"/>
      <c r="BF15" s="538"/>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45815.499999999971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45815.541666666635</v>
      </c>
      <c r="C17" s="537"/>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537"/>
      <c r="BB17" s="45">
        <f>TblProd[[#This Row],[Hour]]</f>
        <v>14</v>
      </c>
      <c r="BC17" s="538">
        <f>-TblProd[[#This Row],[Bank Lumber]] / 2 + -TblProd[[#This Row],[Bank Gems]] * 2 + -TblProd[[#This Row],[Bank Ore]] / 2</f>
        <v>0</v>
      </c>
      <c r="BD17" s="538"/>
      <c r="BE17" s="538"/>
      <c r="BF17" s="538"/>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45815.583333333299</v>
      </c>
      <c r="C18" s="537"/>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537"/>
      <c r="BB18" s="45">
        <f>TblProd[[#This Row],[Hour]]</f>
        <v>15</v>
      </c>
      <c r="BC18" s="538">
        <f>-TblProd[[#This Row],[Bank Lumber]] / 2 + -TblProd[[#This Row],[Bank Gems]] * 2 + -TblProd[[#This Row],[Bank Ore]] / 2</f>
        <v>0</v>
      </c>
      <c r="BD18" s="538"/>
      <c r="BE18" s="538"/>
      <c r="BF18" s="538"/>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45815.624999999964</v>
      </c>
      <c r="C19" s="537"/>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537"/>
      <c r="BB19" s="45">
        <f>TblProd[[#This Row],[Hour]]</f>
        <v>16</v>
      </c>
      <c r="BC19" s="538">
        <f>-TblProd[[#This Row],[Bank Lumber]] / 2 + -TblProd[[#This Row],[Bank Gems]] * 2 + -TblProd[[#This Row],[Bank Ore]] / 2</f>
        <v>0</v>
      </c>
      <c r="BD19" s="538"/>
      <c r="BE19" s="538"/>
      <c r="BF19" s="538"/>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45815.666666666628</v>
      </c>
      <c r="C20" s="537"/>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537"/>
      <c r="BB20" s="45">
        <f>TblProd[[#This Row],[Hour]]</f>
        <v>17</v>
      </c>
      <c r="BC20" s="538">
        <f>-TblProd[[#This Row],[Bank Lumber]] / 2 + -TblProd[[#This Row],[Bank Gems]] * 2 + -TblProd[[#This Row],[Bank Ore]] / 2</f>
        <v>0</v>
      </c>
      <c r="BD20" s="538"/>
      <c r="BE20" s="538"/>
      <c r="BF20" s="538"/>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45815.708333333292</v>
      </c>
      <c r="C21" s="537"/>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537"/>
      <c r="BB21" s="45">
        <f>TblProd[[#This Row],[Hour]]</f>
        <v>18</v>
      </c>
      <c r="BC21" s="538">
        <f>-TblProd[[#This Row],[Bank Lumber]] / 2 + -TblProd[[#This Row],[Bank Gems]] * 2 + -TblProd[[#This Row],[Bank Ore]] / 2</f>
        <v>0</v>
      </c>
      <c r="BD21" s="538"/>
      <c r="BE21" s="538"/>
      <c r="BF21" s="538"/>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45815.749999999956</v>
      </c>
      <c r="C22" s="537"/>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537"/>
      <c r="BB22" s="45">
        <f>TblProd[[#This Row],[Hour]]</f>
        <v>19</v>
      </c>
      <c r="BC22" s="538">
        <f>-TblProd[[#This Row],[Bank Lumber]] / 2 + -TblProd[[#This Row],[Bank Gems]] * 2 + -TblProd[[#This Row],[Bank Ore]] / 2</f>
        <v>0</v>
      </c>
      <c r="BD22" s="538"/>
      <c r="BE22" s="538"/>
      <c r="BF22" s="538"/>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45815.791666666621</v>
      </c>
      <c r="C23" s="537"/>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537"/>
      <c r="BB23" s="45">
        <f>TblProd[[#This Row],[Hour]]</f>
        <v>20</v>
      </c>
      <c r="BC23" s="538">
        <f>-TblProd[[#This Row],[Bank Lumber]] / 2 + -TblProd[[#This Row],[Bank Gems]] * 2 + -TblProd[[#This Row],[Bank Ore]] / 2</f>
        <v>0</v>
      </c>
      <c r="BD23" s="538"/>
      <c r="BE23" s="538"/>
      <c r="BF23" s="538"/>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45815.833333333285</v>
      </c>
      <c r="C24" s="537"/>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537"/>
      <c r="BB24" s="45">
        <f>TblProd[[#This Row],[Hour]]</f>
        <v>21</v>
      </c>
      <c r="BC24" s="538">
        <f>-TblProd[[#This Row],[Bank Lumber]] / 2 + -TblProd[[#This Row],[Bank Gems]] * 2 + -TblProd[[#This Row],[Bank Ore]] / 2</f>
        <v>0</v>
      </c>
      <c r="BD24" s="538"/>
      <c r="BE24" s="538"/>
      <c r="BF24" s="538"/>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45815.874999999949</v>
      </c>
      <c r="C25" s="537"/>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537"/>
      <c r="BB25" s="45">
        <f>TblProd[[#This Row],[Hour]]</f>
        <v>22</v>
      </c>
      <c r="BC25" s="538">
        <f>-TblProd[[#This Row],[Bank Lumber]] / 2 + -TblProd[[#This Row],[Bank Gems]] * 2 + -TblProd[[#This Row],[Bank Ore]] / 2</f>
        <v>0</v>
      </c>
      <c r="BD25" s="538"/>
      <c r="BE25" s="538"/>
      <c r="BF25" s="538"/>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45815.916666666613</v>
      </c>
      <c r="C26" s="537"/>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537"/>
      <c r="BB26" s="45">
        <f>TblProd[[#This Row],[Hour]]</f>
        <v>23</v>
      </c>
      <c r="BC26" s="538">
        <f>-TblProd[[#This Row],[Bank Lumber]] / 2 + -TblProd[[#This Row],[Bank Gems]] * 2 + -TblProd[[#This Row],[Bank Ore]] / 2</f>
        <v>0</v>
      </c>
      <c r="BD26" s="538"/>
      <c r="BE26" s="538"/>
      <c r="BF26" s="538"/>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45815.958333333278</v>
      </c>
      <c r="C27" s="537"/>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537"/>
      <c r="BB27" s="45">
        <f>TblProd[[#This Row],[Hour]]</f>
        <v>24</v>
      </c>
      <c r="BC27" s="538">
        <f>-TblProd[[#This Row],[Bank Lumber]] / 2 + -TblProd[[#This Row],[Bank Gems]] * 2 + -TblProd[[#This Row],[Bank Ore]] / 2</f>
        <v>0</v>
      </c>
      <c r="BD27" s="538"/>
      <c r="BE27" s="538"/>
      <c r="BF27" s="538"/>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45815.999999999942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45816.041666666606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45816.08333333327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45816.124999999935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45816.166666666599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45816.208333333263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45816.249999999927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45816.291666666591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45816.333333333256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45816.37499999992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45816.416666666584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45816.458333333248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s="5" customFormat="1" x14ac:dyDescent="0.2">
      <c r="A40" s="144" t="s">
        <v>229</v>
      </c>
      <c r="B40" s="160">
        <f ca="1">TblImps[[#This Row],[Time]]</f>
        <v>45816.499999999913</v>
      </c>
      <c r="C40" s="161"/>
      <c r="D40" s="162"/>
      <c r="E40" s="35">
        <f ca="1">TblConstr[[#This Row],[Land]]</f>
        <v>50</v>
      </c>
      <c r="F40" s="35">
        <f ca="1">TblPop[[#This Row],[Peasants]]</f>
        <v>328</v>
      </c>
      <c r="G40" s="35">
        <f ca="1">TblMili[[#This Row],[Networth (2)]]</f>
        <v>1250</v>
      </c>
      <c r="H40" s="35">
        <f ca="1">OFFSET(TblProd[[#This Row],[Platinum]],-1,0)+OFFSET(TblProd[[#This Row],[Plat/hr]],-1,0) - TblProd[[#This Row],[Expenses Platinum]] + IF(TblProd[[#This Row],[Plat Bonus]],TblPop[[#This Row],[Peasants]]*4) + SUM(TblConstr[[#This Row],[Dest Hom]:[Dest Doc]])*TblConstr[[#This Row],[CPA Platinum -DB]]*tech_3_3_2*TblTech[[#This Row],[3-3]]</f>
        <v>158460</v>
      </c>
      <c r="I40" s="35">
        <f ca="1">OFFSET(TblProd[[#This Row],[Food]],-1,0)+OFFSET(TblProd[[#This Row],[Food/hr]],-1,0)+ROUNDUP((TblConstr[[#This Row],[Farms]]*80+TblConstr[[#This Row],[Docks]]*35)*(1+OFFSET(TblProd[[#This Row],[Bonus Food/hr]],-1,0)),0)</f>
        <v>82936</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MAX(3750,_xlfn.CEILING.MATH(TblProd[[#This Row],[Land]]*2.5+OFFSET(TblTech[[#This Row],[Sum of tech]],-1,0)*150))</f>
        <v>3750</v>
      </c>
      <c r="R40" s="149"/>
      <c r="S40" s="35">
        <f ca="1">ROUNDDOWN(TblProd[[#This Row],[Raw Plat/hr]]*(1+TblProd[[#This Row],[Bonus Plat/hr]]),0)</f>
        <v>885</v>
      </c>
      <c r="T40" s="35">
        <f ca="1">ROUND(TblProd[[#This Row],[Raw Food/hr]]*(1+TblProd[[#This Row],[Bonus Food/hr]])-TblProd[[#This Row],[Food decay]]-TblProd[[#This Row],[Food eaten]],0)</f>
        <v>1558</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885.6</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829.36</v>
      </c>
      <c r="AP40" s="35">
        <f ca="1">(1+race_food_consumption)*TblPop[[#This Row],[Total]]*food_per_person*(1+tech_1_10*TblTech[[#This Row],[1-10]]+tech_7_5*TblTech[[#This Row],[7-5]] + IF(TblMagic[[#This Row],[Active Demonic Pact]]&gt;0,demonic_pact_food_cons,0))</f>
        <v>192.25</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45816.499999999913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158460</v>
      </c>
      <c r="BJ40" s="35">
        <f ca="1">TblProd[[#This Row],[Food]]</f>
        <v>82936</v>
      </c>
      <c r="BK40" s="35">
        <f ca="1">TblProd[[#This Row],[Lumber]]</f>
        <v>40804</v>
      </c>
      <c r="BL40" s="35">
        <f ca="1">TblProd[[#This Row],[Mana]]</f>
        <v>0</v>
      </c>
      <c r="BM40" s="35">
        <f ca="1">TblProd[[#This Row],[Ore]]</f>
        <v>0</v>
      </c>
    </row>
    <row r="41" spans="1:65" x14ac:dyDescent="0.2">
      <c r="A41" s="137">
        <v>2</v>
      </c>
      <c r="B41" s="152">
        <f ca="1">TblImps[[#This Row],[Time]]</f>
        <v>45816.541666666577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f>A41+1</f>
        <v>3</v>
      </c>
      <c r="B42" s="152">
        <f ca="1">TblImps[[#This Row],[Time]]</f>
        <v>45816.583333333241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f t="shared" ref="A43:A106" si="0">A42+1</f>
        <v>4</v>
      </c>
      <c r="B43" s="152">
        <f ca="1">TblImps[[#This Row],[Time]]</f>
        <v>45816.624999999905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f t="shared" si="0"/>
        <v>5</v>
      </c>
      <c r="B44" s="152">
        <f ca="1">TblImps[[#This Row],[Time]]</f>
        <v>45816.66666666657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f t="shared" si="0"/>
        <v>6</v>
      </c>
      <c r="B45" s="152">
        <f ca="1">TblImps[[#This Row],[Time]]</f>
        <v>45816.708333333234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f t="shared" si="0"/>
        <v>7</v>
      </c>
      <c r="B46" s="152">
        <f ca="1">TblImps[[#This Row],[Time]]</f>
        <v>45816.749999999898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f t="shared" si="0"/>
        <v>8</v>
      </c>
      <c r="B47" s="152">
        <f ca="1">TblImps[[#This Row],[Time]]</f>
        <v>45816.791666666562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f t="shared" si="0"/>
        <v>9</v>
      </c>
      <c r="B48" s="152">
        <f ca="1">TblImps[[#This Row],[Time]]</f>
        <v>45816.833333333227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f t="shared" si="0"/>
        <v>10</v>
      </c>
      <c r="B49" s="152">
        <f ca="1">TblImps[[#This Row],[Time]]</f>
        <v>45816.874999999891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f t="shared" si="0"/>
        <v>11</v>
      </c>
      <c r="B50" s="152">
        <f ca="1">TblImps[[#This Row],[Time]]</f>
        <v>45816.916666666555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f t="shared" si="0"/>
        <v>12</v>
      </c>
      <c r="B51" s="152">
        <f ca="1">TblImps[[#This Row],[Time]]</f>
        <v>45816.958333333219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x14ac:dyDescent="0.2">
      <c r="A52" s="137">
        <f t="shared" si="0"/>
        <v>13</v>
      </c>
      <c r="B52" s="152">
        <f ca="1">TblImps[[#This Row],[Time]]</f>
        <v>45816.999999999884</v>
      </c>
      <c r="C52" s="153"/>
      <c r="D52" s="154"/>
      <c r="E52" s="94">
        <f ca="1">TblConstr[[#This Row],[Land]]</f>
        <v>50</v>
      </c>
      <c r="F52" s="94">
        <f ca="1">TblPop[[#This Row],[Peasants]]</f>
        <v>292</v>
      </c>
      <c r="G52" s="94">
        <f ca="1">TblMili[[#This Row],[Networth (2)]]</f>
        <v>1250</v>
      </c>
      <c r="H52" s="94">
        <f ca="1">OFFSET(TblProd[[#This Row],[Platinum]],-1,0)+OFFSET(TblProd[[#This Row],[Plat/hr]],-1,0) - TblProd[[#This Row],[Expenses Platinum]] + IF(TblProd[[#This Row],[Plat Bonus]],TblPop[[#This Row],[Peasants]]*4) + SUM(TblConstr[[#This Row],[Dest Hom]:[Dest Doc]])*TblConstr[[#This Row],[CPA Platinum -DB]]*tech_3_3_2*TblTech[[#This Row],[3-3]]</f>
        <v>168547</v>
      </c>
      <c r="I52" s="94">
        <f ca="1">OFFSET(TblProd[[#This Row],[Food]],-1,0)+OFFSET(TblProd[[#This Row],[Food/hr]],-1,0)+ROUNDUP((TblConstr[[#This Row],[Farms]]*80+TblConstr[[#This Row],[Docks]]*35)*(1+OFFSET(TblProd[[#This Row],[Bonus Food/hr]],-1,0)),0)</f>
        <v>100641</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MAX(3750,_xlfn.CEILING.MATH(TblProd[[#This Row],[Land]]*2.5+OFFSET(TblTech[[#This Row],[Sum of tech]],-1,0)*150))</f>
        <v>3750</v>
      </c>
      <c r="R52" s="142"/>
      <c r="S52" s="94">
        <f ca="1">ROUNDDOWN(TblProd[[#This Row],[Raw Plat/hr]]*(1+TblProd[[#This Row],[Bonus Plat/hr]]),0)</f>
        <v>788</v>
      </c>
      <c r="T52" s="94">
        <f ca="1">ROUND(TblProd[[#This Row],[Raw Food/hr]]*(1+TblProd[[#This Row],[Bonus Food/hr]])-TblProd[[#This Row],[Food decay]]-TblProd[[#This Row],[Food eaten]],0)</f>
        <v>1381</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788.40000000000009</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1006.41</v>
      </c>
      <c r="AP52" s="94">
        <f ca="1">(1+race_food_consumption)*TblPop[[#This Row],[Total]]*food_per_person*(1+tech_1_10*TblTech[[#This Row],[1-10]]+tech_7_5*TblTech[[#This Row],[7-5]] + IF(TblMagic[[#This Row],[Active Demonic Pact]]&gt;0,demonic_pact_food_cons,0))</f>
        <v>192.25</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45816.999999999884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168547</v>
      </c>
      <c r="BJ52" s="94">
        <f ca="1">TblProd[[#This Row],[Food]]</f>
        <v>100641</v>
      </c>
      <c r="BK52" s="94">
        <f ca="1">TblProd[[#This Row],[Lumber]]</f>
        <v>47529</v>
      </c>
      <c r="BL52" s="94">
        <f ca="1">TblProd[[#This Row],[Mana]]</f>
        <v>0</v>
      </c>
      <c r="BM52" s="94">
        <f ca="1">TblProd[[#This Row],[Ore]]</f>
        <v>0</v>
      </c>
    </row>
    <row r="53" spans="1:65" x14ac:dyDescent="0.2">
      <c r="A53" s="137">
        <f t="shared" si="0"/>
        <v>14</v>
      </c>
      <c r="B53" s="152">
        <f ca="1">TblImps[[#This Row],[Time]]</f>
        <v>45817.041666666548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 t="shared" si="0"/>
        <v>15</v>
      </c>
      <c r="B54" s="152">
        <f ca="1">TblImps[[#This Row],[Time]]</f>
        <v>45817.083333333212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si="0"/>
        <v>16</v>
      </c>
      <c r="B55" s="152">
        <f ca="1">TblImps[[#This Row],[Time]]</f>
        <v>45817.124999999876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17</v>
      </c>
      <c r="B56" s="152">
        <f ca="1">TblImps[[#This Row],[Time]]</f>
        <v>45817.166666666541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18</v>
      </c>
      <c r="B57" s="152">
        <f ca="1">TblImps[[#This Row],[Time]]</f>
        <v>45817.208333333205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19</v>
      </c>
      <c r="B58" s="152">
        <f ca="1">TblImps[[#This Row],[Time]]</f>
        <v>45817.249999999869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20</v>
      </c>
      <c r="B59" s="152">
        <f ca="1">TblImps[[#This Row],[Time]]</f>
        <v>45817.291666666533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21</v>
      </c>
      <c r="B60" s="152">
        <f ca="1">TblImps[[#This Row],[Time]]</f>
        <v>45817.333333333198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22</v>
      </c>
      <c r="B61" s="152">
        <f ca="1">TblImps[[#This Row],[Time]]</f>
        <v>45817.374999999862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23</v>
      </c>
      <c r="B62" s="152">
        <f ca="1">TblImps[[#This Row],[Time]]</f>
        <v>45817.416666666526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24</v>
      </c>
      <c r="B63" s="152">
        <f ca="1">TblImps[[#This Row],[Time]]</f>
        <v>45817.45833333319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25</v>
      </c>
      <c r="B64" s="152">
        <f ca="1">TblImps[[#This Row],[Time]]</f>
        <v>45817.499999999854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26</v>
      </c>
      <c r="B65" s="152">
        <f ca="1">TblImps[[#This Row],[Time]]</f>
        <v>45817.541666666519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27</v>
      </c>
      <c r="B66" s="152">
        <f ca="1">TblImps[[#This Row],[Time]]</f>
        <v>45817.583333333183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28</v>
      </c>
      <c r="B67" s="152">
        <f ca="1">TblImps[[#This Row],[Time]]</f>
        <v>45817.624999999847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29</v>
      </c>
      <c r="B68" s="152">
        <f ca="1">TblImps[[#This Row],[Time]]</f>
        <v>45817.666666666511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30</v>
      </c>
      <c r="B69" s="152">
        <f ca="1">TblImps[[#This Row],[Time]]</f>
        <v>45817.708333333176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31</v>
      </c>
      <c r="B70" s="152">
        <f ca="1">TblImps[[#This Row],[Time]]</f>
        <v>45817.74999999984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32</v>
      </c>
      <c r="B71" s="152">
        <f ca="1">TblImps[[#This Row],[Time]]</f>
        <v>45817.791666666504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33</v>
      </c>
      <c r="B72" s="152">
        <f ca="1">TblImps[[#This Row],[Time]]</f>
        <v>45817.833333333168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34</v>
      </c>
      <c r="B73" s="152">
        <f ca="1">TblImps[[#This Row],[Time]]</f>
        <v>45817.874999999833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35</v>
      </c>
      <c r="B74" s="152">
        <f ca="1">TblImps[[#This Row],[Time]]</f>
        <v>45817.916666666497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36</v>
      </c>
      <c r="B75" s="152">
        <f ca="1">TblImps[[#This Row],[Time]]</f>
        <v>45817.958333333161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37</v>
      </c>
      <c r="B76" s="152">
        <f ca="1">TblImps[[#This Row],[Time]]</f>
        <v>45817.999999999825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38</v>
      </c>
      <c r="B77" s="152">
        <f ca="1">TblImps[[#This Row],[Time]]</f>
        <v>45818.04166666649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39</v>
      </c>
      <c r="B78" s="152">
        <f ca="1">TblImps[[#This Row],[Time]]</f>
        <v>45818.083333333154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40</v>
      </c>
      <c r="B79" s="152">
        <f ca="1">TblImps[[#This Row],[Time]]</f>
        <v>45818.124999999818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41</v>
      </c>
      <c r="B80" s="152">
        <f ca="1">TblImps[[#This Row],[Time]]</f>
        <v>45818.166666666482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42</v>
      </c>
      <c r="B81" s="152">
        <f ca="1">TblImps[[#This Row],[Time]]</f>
        <v>45818.208333333147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43</v>
      </c>
      <c r="B82" s="152">
        <f ca="1">TblImps[[#This Row],[Time]]</f>
        <v>45818.249999999811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44</v>
      </c>
      <c r="B83" s="152">
        <f ca="1">TblImps[[#This Row],[Time]]</f>
        <v>45818.291666666475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45</v>
      </c>
      <c r="B84" s="152">
        <f ca="1">TblImps[[#This Row],[Time]]</f>
        <v>45818.333333333139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46</v>
      </c>
      <c r="B85" s="152">
        <f ca="1">TblImps[[#This Row],[Time]]</f>
        <v>45818.374999999804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47</v>
      </c>
      <c r="B86" s="152">
        <f ca="1">TblImps[[#This Row],[Time]]</f>
        <v>45818.416666666468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48</v>
      </c>
      <c r="B87" s="152">
        <f ca="1">TblImps[[#This Row],[Time]]</f>
        <v>45818.458333333132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49</v>
      </c>
      <c r="B88" s="152">
        <f ca="1">TblImps[[#This Row],[Time]]</f>
        <v>45818.499999999796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50</v>
      </c>
      <c r="B89" s="152">
        <f ca="1">TblImps[[#This Row],[Time]]</f>
        <v>45818.541666666461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51</v>
      </c>
      <c r="B90" s="152">
        <f ca="1">TblImps[[#This Row],[Time]]</f>
        <v>45818.583333333125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52</v>
      </c>
      <c r="B91" s="152">
        <f ca="1">TblImps[[#This Row],[Time]]</f>
        <v>45818.624999999789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53</v>
      </c>
      <c r="B92" s="152">
        <f ca="1">TblImps[[#This Row],[Time]]</f>
        <v>45818.666666666453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54</v>
      </c>
      <c r="B93" s="152">
        <f ca="1">TblImps[[#This Row],[Time]]</f>
        <v>45818.708333333117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55</v>
      </c>
      <c r="B94" s="152">
        <f ca="1">TblImps[[#This Row],[Time]]</f>
        <v>45818.749999999782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56</v>
      </c>
      <c r="B95" s="152">
        <f ca="1">TblImps[[#This Row],[Time]]</f>
        <v>45818.791666666446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57</v>
      </c>
      <c r="B96" s="152">
        <f ca="1">TblImps[[#This Row],[Time]]</f>
        <v>45818.83333333311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58</v>
      </c>
      <c r="B97" s="152">
        <f ca="1">TblImps[[#This Row],[Time]]</f>
        <v>45818.874999999774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59</v>
      </c>
      <c r="B98" s="152">
        <f ca="1">TblImps[[#This Row],[Time]]</f>
        <v>45818.916666666439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60</v>
      </c>
      <c r="B99" s="152">
        <f ca="1">TblImps[[#This Row],[Time]]</f>
        <v>45818.958333333103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61</v>
      </c>
      <c r="B100" s="152">
        <f ca="1">TblImps[[#This Row],[Time]]</f>
        <v>45818.999999999767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62</v>
      </c>
      <c r="B101" s="152">
        <f ca="1">TblImps[[#This Row],[Time]]</f>
        <v>45819.041666666431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63</v>
      </c>
      <c r="B102" s="152">
        <f ca="1">TblImps[[#This Row],[Time]]</f>
        <v>45819.083333333096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64</v>
      </c>
      <c r="B103" s="152">
        <f ca="1">TblImps[[#This Row],[Time]]</f>
        <v>45819.12499999976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65</v>
      </c>
      <c r="B104" s="152">
        <f ca="1">TblImps[[#This Row],[Time]]</f>
        <v>45819.166666666424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66</v>
      </c>
      <c r="B105" s="152">
        <f ca="1">TblImps[[#This Row],[Time]]</f>
        <v>45819.208333333088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67</v>
      </c>
      <c r="B106" s="152">
        <f ca="1">TblImps[[#This Row],[Time]]</f>
        <v>45819.249999999753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ref="A107:A136" si="1">A106+1</f>
        <v>68</v>
      </c>
      <c r="B107" s="152">
        <f ca="1">TblImps[[#This Row],[Time]]</f>
        <v>45819.291666666417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1"/>
        <v>69</v>
      </c>
      <c r="B108" s="152">
        <f ca="1">TblImps[[#This Row],[Time]]</f>
        <v>45819.333333333081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1"/>
        <v>70</v>
      </c>
      <c r="B109" s="152">
        <f ca="1">TblImps[[#This Row],[Time]]</f>
        <v>45819.374999999745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1"/>
        <v>71</v>
      </c>
      <c r="B110" s="152">
        <f ca="1">TblImps[[#This Row],[Time]]</f>
        <v>45819.41666666641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1"/>
        <v>72</v>
      </c>
      <c r="B111" s="152">
        <f ca="1">TblImps[[#This Row],[Time]]</f>
        <v>45819.458333333074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1"/>
        <v>73</v>
      </c>
      <c r="B112" s="152">
        <f ca="1">TblImps[[#This Row],[Time]]</f>
        <v>45819.499999999738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1"/>
        <v>74</v>
      </c>
      <c r="B113" s="152">
        <f ca="1">TblImps[[#This Row],[Time]]</f>
        <v>45819.541666666402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1"/>
        <v>75</v>
      </c>
      <c r="B114" s="152">
        <f ca="1">TblImps[[#This Row],[Time]]</f>
        <v>45819.583333333067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1"/>
        <v>76</v>
      </c>
      <c r="B115" s="152">
        <f ca="1">TblImps[[#This Row],[Time]]</f>
        <v>45819.624999999731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1"/>
        <v>77</v>
      </c>
      <c r="B116" s="152">
        <f ca="1">TblImps[[#This Row],[Time]]</f>
        <v>45819.666666666395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1"/>
        <v>78</v>
      </c>
      <c r="B117" s="152">
        <f ca="1">TblImps[[#This Row],[Time]]</f>
        <v>45819.708333333059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1"/>
        <v>79</v>
      </c>
      <c r="B118" s="152">
        <f ca="1">TblImps[[#This Row],[Time]]</f>
        <v>45819.749999999724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si="1"/>
        <v>80</v>
      </c>
      <c r="B119" s="152">
        <f ca="1">TblImps[[#This Row],[Time]]</f>
        <v>45819.791666666388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81</v>
      </c>
      <c r="B120" s="152">
        <f ca="1">TblImps[[#This Row],[Time]]</f>
        <v>45819.833333333052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82</v>
      </c>
      <c r="B121" s="152">
        <f ca="1">TblImps[[#This Row],[Time]]</f>
        <v>45819.874999999716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83</v>
      </c>
      <c r="B122" s="152">
        <f ca="1">TblImps[[#This Row],[Time]]</f>
        <v>45819.91666666638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84</v>
      </c>
      <c r="B123" s="152">
        <f ca="1">TblImps[[#This Row],[Time]]</f>
        <v>45819.958333333045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85</v>
      </c>
      <c r="B124" s="152">
        <f ca="1">TblImps[[#This Row],[Time]]</f>
        <v>45819.999999999709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86</v>
      </c>
      <c r="B125" s="152">
        <f ca="1">TblImps[[#This Row],[Time]]</f>
        <v>45820.041666666373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87</v>
      </c>
      <c r="B126" s="152">
        <f ca="1">TblImps[[#This Row],[Time]]</f>
        <v>45820.083333333037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88</v>
      </c>
      <c r="B127" s="152">
        <f ca="1">TblImps[[#This Row],[Time]]</f>
        <v>45820.124999999702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89</v>
      </c>
      <c r="B128" s="152">
        <f ca="1">TblImps[[#This Row],[Time]]</f>
        <v>45820.166666666366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90</v>
      </c>
      <c r="B129" s="152">
        <f ca="1">TblImps[[#This Row],[Time]]</f>
        <v>45820.20833333303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91</v>
      </c>
      <c r="B130" s="152">
        <f ca="1">TblImps[[#This Row],[Time]]</f>
        <v>45820.249999999694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92</v>
      </c>
      <c r="B131" s="152">
        <f ca="1">TblImps[[#This Row],[Time]]</f>
        <v>45820.291666666359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93</v>
      </c>
      <c r="B132" s="152">
        <f ca="1">TblImps[[#This Row],[Time]]</f>
        <v>45820.333333333023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94</v>
      </c>
      <c r="B133" s="152">
        <f ca="1">TblImps[[#This Row],[Time]]</f>
        <v>45820.374999999687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95</v>
      </c>
      <c r="B134" s="152">
        <f ca="1">TblImps[[#This Row],[Time]]</f>
        <v>45820.416666666351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96</v>
      </c>
      <c r="B135" s="152">
        <f ca="1">TblImps[[#This Row],[Time]]</f>
        <v>45820.458333333016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97</v>
      </c>
      <c r="B136" s="152">
        <f ca="1">TblImps[[#This Row],[Time]]</f>
        <v>45820.49999999968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27" t="s">
        <v>314</v>
      </c>
      <c r="D1269" s="483"/>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0" t="s">
        <v>56</v>
      </c>
      <c r="P1" s="530"/>
      <c r="Q1" s="483"/>
      <c r="R1" s="5"/>
      <c r="S1" s="5"/>
      <c r="T1" s="5"/>
      <c r="U1" s="5"/>
      <c r="V1" s="5"/>
      <c r="W1" s="5"/>
      <c r="X1" s="5"/>
      <c r="Y1" s="5"/>
      <c r="Z1" s="5"/>
      <c r="AA1" s="5"/>
      <c r="AB1" s="5"/>
      <c r="AC1" s="5"/>
      <c r="AD1" s="5"/>
      <c r="AE1" s="5"/>
      <c r="AF1" s="5"/>
      <c r="AG1" s="5"/>
      <c r="AH1" s="5"/>
      <c r="AI1" s="174" t="s">
        <v>513</v>
      </c>
      <c r="AJ1" s="174" t="s">
        <v>516</v>
      </c>
      <c r="AK1" s="530" t="s">
        <v>77</v>
      </c>
      <c r="AL1" s="530"/>
      <c r="AM1" s="528" t="s">
        <v>514</v>
      </c>
      <c r="AN1" s="528"/>
      <c r="AO1" s="528" t="s">
        <v>515</v>
      </c>
      <c r="AP1" s="528"/>
      <c r="AQ1" s="528" t="s">
        <v>512</v>
      </c>
      <c r="AR1" s="528"/>
      <c r="AS1" s="5"/>
      <c r="AT1" s="5"/>
      <c r="AU1" s="5"/>
      <c r="AV1" s="5" t="s">
        <v>511</v>
      </c>
      <c r="AW1" s="5"/>
      <c r="AX1" s="5"/>
      <c r="AY1" s="528" t="s">
        <v>53</v>
      </c>
      <c r="AZ1" s="528"/>
      <c r="BA1" s="528"/>
      <c r="BB1" s="28"/>
      <c r="BC1" s="28"/>
      <c r="BD1" s="28"/>
      <c r="BE1" s="28"/>
      <c r="BF1" s="28"/>
      <c r="BG1" s="28"/>
      <c r="BH1" s="28"/>
      <c r="BI1" s="28"/>
      <c r="BJ1" s="28"/>
      <c r="BK1" s="28"/>
      <c r="BL1" s="28"/>
      <c r="BM1" s="28"/>
      <c r="BN1" s="28"/>
      <c r="BO1" s="28"/>
      <c r="BP1" s="28"/>
      <c r="BQ1" s="28"/>
      <c r="BR1" s="5"/>
      <c r="BS1" s="5"/>
      <c r="BT1" s="5"/>
      <c r="BU1" s="5"/>
      <c r="BV1" s="5"/>
      <c r="BW1" s="530" t="s">
        <v>84</v>
      </c>
      <c r="BX1" s="530"/>
      <c r="BY1" s="5"/>
      <c r="BZ1" s="5"/>
      <c r="CA1" s="5"/>
      <c r="CB1" s="5"/>
      <c r="CC1" s="5"/>
      <c r="CD1" s="5"/>
      <c r="CE1" s="5"/>
      <c r="CF1" s="5"/>
      <c r="CG1" s="5"/>
      <c r="CH1" s="5"/>
      <c r="CI1" s="5"/>
      <c r="CJ1" s="5"/>
      <c r="CK1" s="5"/>
      <c r="CL1" s="5"/>
      <c r="CM1" s="5"/>
      <c r="CN1" s="5"/>
      <c r="CO1" s="5"/>
      <c r="CP1" s="5"/>
      <c r="CQ1" s="528" t="s">
        <v>18</v>
      </c>
      <c r="CR1" s="528"/>
      <c r="CS1" s="28"/>
      <c r="CT1" s="28"/>
      <c r="CU1" s="28"/>
      <c r="CV1" s="28"/>
      <c r="CW1" s="28"/>
      <c r="CX1" s="5"/>
      <c r="CY1" s="5"/>
      <c r="CZ1" s="530" t="s">
        <v>293</v>
      </c>
      <c r="DA1" s="530"/>
      <c r="DB1" s="530"/>
      <c r="DC1" s="530"/>
      <c r="DD1" s="530"/>
      <c r="DE1" s="5"/>
      <c r="DF1" s="5"/>
      <c r="DG1" s="530" t="s">
        <v>257</v>
      </c>
      <c r="DH1" s="530"/>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539"/>
      <c r="P5" s="539"/>
      <c r="Q5" s="539"/>
      <c r="R5" s="539"/>
      <c r="S5" s="539"/>
      <c r="T5" s="539"/>
      <c r="U5" s="539"/>
      <c r="V5" s="539"/>
      <c r="W5" s="539"/>
      <c r="X5" s="539"/>
      <c r="Y5" s="539"/>
      <c r="Z5" s="539"/>
      <c r="AA5" s="539"/>
      <c r="AB5" s="539"/>
      <c r="AC5" s="539"/>
      <c r="AD5" s="539"/>
      <c r="AE5" s="539"/>
      <c r="AF5" s="539"/>
      <c r="AG5" s="539"/>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BW5" s="539"/>
      <c r="BX5" s="539"/>
      <c r="BY5" s="539"/>
      <c r="BZ5" s="539"/>
      <c r="CA5" s="539"/>
      <c r="CB5" s="539"/>
      <c r="CC5" s="539"/>
      <c r="CD5" s="539"/>
      <c r="CE5" s="539"/>
      <c r="CF5" s="539"/>
      <c r="CG5" s="539"/>
      <c r="CH5" s="539"/>
      <c r="CI5" s="539"/>
      <c r="CJ5" s="539"/>
      <c r="CK5" s="539"/>
      <c r="CL5" s="539"/>
      <c r="CM5" s="539"/>
      <c r="CN5" s="539"/>
      <c r="CO5" s="53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539"/>
      <c r="P6" s="539"/>
      <c r="Q6" s="539"/>
      <c r="R6" s="539"/>
      <c r="S6" s="539"/>
      <c r="T6" s="539"/>
      <c r="U6" s="539"/>
      <c r="V6" s="539"/>
      <c r="W6" s="539"/>
      <c r="X6" s="539"/>
      <c r="Y6" s="539"/>
      <c r="Z6" s="539"/>
      <c r="AA6" s="539"/>
      <c r="AB6" s="539"/>
      <c r="AC6" s="539"/>
      <c r="AD6" s="539"/>
      <c r="AE6" s="539"/>
      <c r="AF6" s="539"/>
      <c r="AG6" s="539"/>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BW6" s="539"/>
      <c r="BX6" s="539"/>
      <c r="BY6" s="539"/>
      <c r="BZ6" s="539"/>
      <c r="CA6" s="539"/>
      <c r="CB6" s="539"/>
      <c r="CC6" s="539"/>
      <c r="CD6" s="539"/>
      <c r="CE6" s="539"/>
      <c r="CF6" s="539"/>
      <c r="CG6" s="539"/>
      <c r="CH6" s="539"/>
      <c r="CI6" s="539"/>
      <c r="CJ6" s="539"/>
      <c r="CK6" s="539"/>
      <c r="CL6" s="539"/>
      <c r="CM6" s="539"/>
      <c r="CN6" s="539"/>
      <c r="CO6" s="53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539"/>
      <c r="P7" s="539"/>
      <c r="Q7" s="539"/>
      <c r="R7" s="539"/>
      <c r="S7" s="539"/>
      <c r="T7" s="539"/>
      <c r="U7" s="539"/>
      <c r="V7" s="539"/>
      <c r="W7" s="539"/>
      <c r="X7" s="539"/>
      <c r="Y7" s="539"/>
      <c r="Z7" s="539"/>
      <c r="AA7" s="539"/>
      <c r="AB7" s="539"/>
      <c r="AC7" s="539"/>
      <c r="AD7" s="539"/>
      <c r="AE7" s="539"/>
      <c r="AF7" s="539"/>
      <c r="AG7" s="539"/>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BW7" s="539"/>
      <c r="BX7" s="539"/>
      <c r="BY7" s="539"/>
      <c r="BZ7" s="539"/>
      <c r="CA7" s="539"/>
      <c r="CB7" s="539"/>
      <c r="CC7" s="539"/>
      <c r="CD7" s="539"/>
      <c r="CE7" s="539"/>
      <c r="CF7" s="539"/>
      <c r="CG7" s="539"/>
      <c r="CH7" s="539"/>
      <c r="CI7" s="539"/>
      <c r="CJ7" s="539"/>
      <c r="CK7" s="539"/>
      <c r="CL7" s="539"/>
      <c r="CM7" s="539"/>
      <c r="CN7" s="539"/>
      <c r="CO7" s="53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539"/>
      <c r="P8" s="539"/>
      <c r="Q8" s="539"/>
      <c r="R8" s="539"/>
      <c r="S8" s="539"/>
      <c r="T8" s="539"/>
      <c r="U8" s="539"/>
      <c r="V8" s="539"/>
      <c r="W8" s="539"/>
      <c r="X8" s="539"/>
      <c r="Y8" s="539"/>
      <c r="Z8" s="539"/>
      <c r="AA8" s="539"/>
      <c r="AB8" s="539"/>
      <c r="AC8" s="539"/>
      <c r="AD8" s="539"/>
      <c r="AE8" s="539"/>
      <c r="AF8" s="539"/>
      <c r="AG8" s="539"/>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BW8" s="539"/>
      <c r="BX8" s="539"/>
      <c r="BY8" s="539"/>
      <c r="BZ8" s="539"/>
      <c r="CA8" s="539"/>
      <c r="CB8" s="539"/>
      <c r="CC8" s="539"/>
      <c r="CD8" s="539"/>
      <c r="CE8" s="539"/>
      <c r="CF8" s="539"/>
      <c r="CG8" s="539"/>
      <c r="CH8" s="539"/>
      <c r="CI8" s="539"/>
      <c r="CJ8" s="539"/>
      <c r="CK8" s="539"/>
      <c r="CL8" s="539"/>
      <c r="CM8" s="539"/>
      <c r="CN8" s="539"/>
      <c r="CO8" s="53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539"/>
      <c r="P9" s="539"/>
      <c r="Q9" s="539"/>
      <c r="R9" s="539"/>
      <c r="S9" s="539"/>
      <c r="T9" s="539"/>
      <c r="U9" s="539"/>
      <c r="V9" s="539"/>
      <c r="W9" s="539"/>
      <c r="X9" s="539"/>
      <c r="Y9" s="539"/>
      <c r="Z9" s="539"/>
      <c r="AA9" s="539"/>
      <c r="AB9" s="539"/>
      <c r="AC9" s="539"/>
      <c r="AD9" s="539"/>
      <c r="AE9" s="539"/>
      <c r="AF9" s="539"/>
      <c r="AG9" s="539"/>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BW9" s="539"/>
      <c r="BX9" s="539"/>
      <c r="BY9" s="539"/>
      <c r="BZ9" s="539"/>
      <c r="CA9" s="539"/>
      <c r="CB9" s="539"/>
      <c r="CC9" s="539"/>
      <c r="CD9" s="539"/>
      <c r="CE9" s="539"/>
      <c r="CF9" s="539"/>
      <c r="CG9" s="539"/>
      <c r="CH9" s="539"/>
      <c r="CI9" s="539"/>
      <c r="CJ9" s="539"/>
      <c r="CK9" s="539"/>
      <c r="CL9" s="539"/>
      <c r="CM9" s="539"/>
      <c r="CN9" s="539"/>
      <c r="CO9" s="53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539"/>
      <c r="P10" s="539"/>
      <c r="Q10" s="539"/>
      <c r="R10" s="539"/>
      <c r="S10" s="539"/>
      <c r="T10" s="539"/>
      <c r="U10" s="539"/>
      <c r="V10" s="539"/>
      <c r="W10" s="539"/>
      <c r="X10" s="539"/>
      <c r="Y10" s="539"/>
      <c r="Z10" s="539"/>
      <c r="AA10" s="539"/>
      <c r="AB10" s="539"/>
      <c r="AC10" s="539"/>
      <c r="AD10" s="539"/>
      <c r="AE10" s="539"/>
      <c r="AF10" s="539"/>
      <c r="AG10" s="539"/>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BW10" s="539"/>
      <c r="BX10" s="539"/>
      <c r="BY10" s="539"/>
      <c r="BZ10" s="539"/>
      <c r="CA10" s="539"/>
      <c r="CB10" s="539"/>
      <c r="CC10" s="539"/>
      <c r="CD10" s="539"/>
      <c r="CE10" s="539"/>
      <c r="CF10" s="539"/>
      <c r="CG10" s="539"/>
      <c r="CH10" s="539"/>
      <c r="CI10" s="539"/>
      <c r="CJ10" s="539"/>
      <c r="CK10" s="539"/>
      <c r="CL10" s="539"/>
      <c r="CM10" s="539"/>
      <c r="CN10" s="539"/>
      <c r="CO10" s="53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539"/>
      <c r="P11" s="539"/>
      <c r="Q11" s="539"/>
      <c r="R11" s="539"/>
      <c r="S11" s="539"/>
      <c r="T11" s="539"/>
      <c r="U11" s="539"/>
      <c r="V11" s="539"/>
      <c r="W11" s="539"/>
      <c r="X11" s="539"/>
      <c r="Y11" s="539"/>
      <c r="Z11" s="539"/>
      <c r="AA11" s="539"/>
      <c r="AB11" s="539"/>
      <c r="AC11" s="539"/>
      <c r="AD11" s="539"/>
      <c r="AE11" s="539"/>
      <c r="AF11" s="539"/>
      <c r="AG11" s="539"/>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BW11" s="539"/>
      <c r="BX11" s="539"/>
      <c r="BY11" s="539"/>
      <c r="BZ11" s="539"/>
      <c r="CA11" s="539"/>
      <c r="CB11" s="539"/>
      <c r="CC11" s="539"/>
      <c r="CD11" s="539"/>
      <c r="CE11" s="539"/>
      <c r="CF11" s="539"/>
      <c r="CG11" s="539"/>
      <c r="CH11" s="539"/>
      <c r="CI11" s="539"/>
      <c r="CJ11" s="539"/>
      <c r="CK11" s="539"/>
      <c r="CL11" s="539"/>
      <c r="CM11" s="539"/>
      <c r="CN11" s="539"/>
      <c r="CO11" s="53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539"/>
      <c r="P12" s="539"/>
      <c r="Q12" s="539"/>
      <c r="R12" s="538"/>
      <c r="S12" s="539"/>
      <c r="T12" s="539"/>
      <c r="U12" s="539"/>
      <c r="V12" s="539"/>
      <c r="W12" s="539"/>
      <c r="X12" s="539"/>
      <c r="Y12" s="539"/>
      <c r="Z12" s="539"/>
      <c r="AA12" s="539"/>
      <c r="AB12" s="539"/>
      <c r="AC12" s="539"/>
      <c r="AD12" s="539"/>
      <c r="AE12" s="539"/>
      <c r="AF12" s="539"/>
      <c r="AG12" s="539"/>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BW12" s="539"/>
      <c r="BX12" s="539"/>
      <c r="BY12" s="539"/>
      <c r="BZ12" s="539"/>
      <c r="CA12" s="539"/>
      <c r="CB12" s="539"/>
      <c r="CC12" s="539"/>
      <c r="CD12" s="539"/>
      <c r="CE12" s="539"/>
      <c r="CF12" s="539"/>
      <c r="CG12" s="539"/>
      <c r="CH12" s="539"/>
      <c r="CI12" s="539"/>
      <c r="CJ12" s="539"/>
      <c r="CK12" s="539"/>
      <c r="CL12" s="539"/>
      <c r="CM12" s="539"/>
      <c r="CN12" s="539"/>
      <c r="CO12" s="53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539"/>
      <c r="P13" s="539"/>
      <c r="Q13" s="539"/>
      <c r="R13" s="538"/>
      <c r="S13" s="539"/>
      <c r="T13" s="539"/>
      <c r="U13" s="539"/>
      <c r="V13" s="539"/>
      <c r="W13" s="539"/>
      <c r="X13" s="539"/>
      <c r="Y13" s="539"/>
      <c r="Z13" s="539"/>
      <c r="AA13" s="539"/>
      <c r="AB13" s="539"/>
      <c r="AC13" s="539"/>
      <c r="AD13" s="539"/>
      <c r="AE13" s="539"/>
      <c r="AF13" s="539"/>
      <c r="AG13" s="539"/>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BW13" s="539"/>
      <c r="BX13" s="539"/>
      <c r="BY13" s="539"/>
      <c r="BZ13" s="539"/>
      <c r="CA13" s="539"/>
      <c r="CB13" s="539"/>
      <c r="CC13" s="539"/>
      <c r="CD13" s="539"/>
      <c r="CE13" s="539"/>
      <c r="CF13" s="539"/>
      <c r="CG13" s="539"/>
      <c r="CH13" s="539"/>
      <c r="CI13" s="539"/>
      <c r="CJ13" s="539"/>
      <c r="CK13" s="539"/>
      <c r="CL13" s="539"/>
      <c r="CM13" s="539"/>
      <c r="CN13" s="539"/>
      <c r="CO13" s="53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539"/>
      <c r="P14" s="539"/>
      <c r="Q14" s="539"/>
      <c r="R14" s="538"/>
      <c r="S14" s="539"/>
      <c r="T14" s="539"/>
      <c r="U14" s="539"/>
      <c r="V14" s="539"/>
      <c r="W14" s="539"/>
      <c r="X14" s="539"/>
      <c r="Y14" s="539"/>
      <c r="Z14" s="539"/>
      <c r="AA14" s="539"/>
      <c r="AB14" s="539"/>
      <c r="AC14" s="539"/>
      <c r="AD14" s="539"/>
      <c r="AE14" s="539"/>
      <c r="AF14" s="539"/>
      <c r="AG14" s="539"/>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BW14" s="539"/>
      <c r="BX14" s="539"/>
      <c r="BY14" s="539"/>
      <c r="BZ14" s="539"/>
      <c r="CA14" s="539"/>
      <c r="CB14" s="539"/>
      <c r="CC14" s="539"/>
      <c r="CD14" s="539"/>
      <c r="CE14" s="539"/>
      <c r="CF14" s="539"/>
      <c r="CG14" s="539"/>
      <c r="CH14" s="539"/>
      <c r="CI14" s="539"/>
      <c r="CJ14" s="539"/>
      <c r="CK14" s="539"/>
      <c r="CL14" s="539"/>
      <c r="CM14" s="539"/>
      <c r="CN14" s="539"/>
      <c r="CO14" s="53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539"/>
      <c r="P15" s="539"/>
      <c r="Q15" s="539"/>
      <c r="R15" s="539"/>
      <c r="S15" s="539"/>
      <c r="T15" s="539"/>
      <c r="U15" s="539"/>
      <c r="V15" s="539"/>
      <c r="W15" s="539"/>
      <c r="X15" s="539"/>
      <c r="Y15" s="539"/>
      <c r="Z15" s="539"/>
      <c r="AA15" s="539"/>
      <c r="AB15" s="539"/>
      <c r="AC15" s="539"/>
      <c r="AD15" s="539"/>
      <c r="AE15" s="539"/>
      <c r="AF15" s="539"/>
      <c r="AG15" s="539"/>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BW15" s="539"/>
      <c r="BX15" s="539"/>
      <c r="BY15" s="539"/>
      <c r="BZ15" s="539"/>
      <c r="CA15" s="539"/>
      <c r="CB15" s="539"/>
      <c r="CC15" s="539"/>
      <c r="CD15" s="539"/>
      <c r="CE15" s="539"/>
      <c r="CF15" s="539"/>
      <c r="CG15" s="539"/>
      <c r="CH15" s="539"/>
      <c r="CI15" s="539"/>
      <c r="CJ15" s="539"/>
      <c r="CK15" s="539"/>
      <c r="CL15" s="539"/>
      <c r="CM15" s="539"/>
      <c r="CN15" s="539"/>
      <c r="CO15" s="53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539"/>
      <c r="P17" s="539"/>
      <c r="Q17" s="539"/>
      <c r="R17" s="539"/>
      <c r="S17" s="539"/>
      <c r="T17" s="539"/>
      <c r="U17" s="539"/>
      <c r="V17" s="539"/>
      <c r="W17" s="539"/>
      <c r="X17" s="538"/>
      <c r="Y17" s="539"/>
      <c r="Z17" s="539"/>
      <c r="AA17" s="539"/>
      <c r="AB17" s="539"/>
      <c r="AC17" s="539"/>
      <c r="AD17" s="539"/>
      <c r="AE17" s="539"/>
      <c r="AF17" s="539"/>
      <c r="AG17" s="539"/>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BW17" s="539"/>
      <c r="BX17" s="539"/>
      <c r="BY17" s="539"/>
      <c r="BZ17" s="539"/>
      <c r="CA17" s="539"/>
      <c r="CB17" s="539"/>
      <c r="CC17" s="539"/>
      <c r="CD17" s="539"/>
      <c r="CE17" s="539"/>
      <c r="CF17" s="539"/>
      <c r="CG17" s="539"/>
      <c r="CH17" s="539"/>
      <c r="CI17" s="539"/>
      <c r="CJ17" s="539"/>
      <c r="CK17" s="539"/>
      <c r="CL17" s="539"/>
      <c r="CM17" s="539"/>
      <c r="CN17" s="539"/>
      <c r="CO17" s="53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539"/>
      <c r="P18" s="539"/>
      <c r="Q18" s="539"/>
      <c r="R18" s="539"/>
      <c r="S18" s="539"/>
      <c r="T18" s="539"/>
      <c r="U18" s="539"/>
      <c r="V18" s="539"/>
      <c r="W18" s="539"/>
      <c r="X18" s="539"/>
      <c r="Y18" s="539"/>
      <c r="Z18" s="539"/>
      <c r="AA18" s="539"/>
      <c r="AB18" s="539"/>
      <c r="AC18" s="539"/>
      <c r="AD18" s="539"/>
      <c r="AE18" s="539"/>
      <c r="AF18" s="539"/>
      <c r="AG18" s="539"/>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BW18" s="539"/>
      <c r="BX18" s="539"/>
      <c r="BY18" s="539"/>
      <c r="BZ18" s="539"/>
      <c r="CA18" s="539"/>
      <c r="CB18" s="539"/>
      <c r="CC18" s="539"/>
      <c r="CD18" s="539"/>
      <c r="CE18" s="539"/>
      <c r="CF18" s="539"/>
      <c r="CG18" s="539"/>
      <c r="CH18" s="539"/>
      <c r="CI18" s="539"/>
      <c r="CJ18" s="539"/>
      <c r="CK18" s="539"/>
      <c r="CL18" s="539"/>
      <c r="CM18" s="539"/>
      <c r="CN18" s="539"/>
      <c r="CO18" s="53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539"/>
      <c r="P19" s="539"/>
      <c r="Q19" s="539"/>
      <c r="R19" s="539"/>
      <c r="S19" s="539"/>
      <c r="T19" s="539"/>
      <c r="U19" s="539"/>
      <c r="V19" s="539"/>
      <c r="W19" s="539"/>
      <c r="X19" s="539"/>
      <c r="Y19" s="539"/>
      <c r="Z19" s="539"/>
      <c r="AA19" s="539"/>
      <c r="AB19" s="539"/>
      <c r="AC19" s="539"/>
      <c r="AD19" s="539"/>
      <c r="AE19" s="539"/>
      <c r="AF19" s="539"/>
      <c r="AG19" s="539"/>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BW19" s="539"/>
      <c r="BX19" s="539"/>
      <c r="BY19" s="539"/>
      <c r="BZ19" s="539"/>
      <c r="CA19" s="539"/>
      <c r="CB19" s="539"/>
      <c r="CC19" s="539"/>
      <c r="CD19" s="539"/>
      <c r="CE19" s="539"/>
      <c r="CF19" s="539"/>
      <c r="CG19" s="539"/>
      <c r="CH19" s="539"/>
      <c r="CI19" s="539"/>
      <c r="CJ19" s="539"/>
      <c r="CK19" s="539"/>
      <c r="CL19" s="539"/>
      <c r="CM19" s="539"/>
      <c r="CN19" s="539"/>
      <c r="CO19" s="53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539"/>
      <c r="P20" s="539"/>
      <c r="Q20" s="539"/>
      <c r="R20" s="539"/>
      <c r="S20" s="539"/>
      <c r="T20" s="539"/>
      <c r="U20" s="539"/>
      <c r="V20" s="539"/>
      <c r="W20" s="539"/>
      <c r="X20" s="539"/>
      <c r="Y20" s="539"/>
      <c r="Z20" s="539"/>
      <c r="AA20" s="539"/>
      <c r="AB20" s="539"/>
      <c r="AC20" s="539"/>
      <c r="AD20" s="539"/>
      <c r="AE20" s="539"/>
      <c r="AF20" s="539"/>
      <c r="AG20" s="539"/>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BW20" s="539"/>
      <c r="BX20" s="539"/>
      <c r="BY20" s="539"/>
      <c r="BZ20" s="539"/>
      <c r="CA20" s="539"/>
      <c r="CB20" s="539"/>
      <c r="CC20" s="539"/>
      <c r="CD20" s="539"/>
      <c r="CE20" s="539"/>
      <c r="CF20" s="539"/>
      <c r="CG20" s="539"/>
      <c r="CH20" s="539"/>
      <c r="CI20" s="539"/>
      <c r="CJ20" s="539"/>
      <c r="CK20" s="539"/>
      <c r="CL20" s="539"/>
      <c r="CM20" s="539"/>
      <c r="CN20" s="539"/>
      <c r="CO20" s="53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539"/>
      <c r="P21" s="539"/>
      <c r="Q21" s="539"/>
      <c r="R21" s="539"/>
      <c r="S21" s="539"/>
      <c r="T21" s="539"/>
      <c r="U21" s="539"/>
      <c r="V21" s="539"/>
      <c r="W21" s="539"/>
      <c r="X21" s="539"/>
      <c r="Y21" s="539"/>
      <c r="Z21" s="539"/>
      <c r="AA21" s="539"/>
      <c r="AB21" s="539"/>
      <c r="AC21" s="539"/>
      <c r="AD21" s="539"/>
      <c r="AE21" s="539"/>
      <c r="AF21" s="539"/>
      <c r="AG21" s="539"/>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BW21" s="539"/>
      <c r="BX21" s="539"/>
      <c r="BY21" s="539"/>
      <c r="BZ21" s="539"/>
      <c r="CA21" s="539"/>
      <c r="CB21" s="539"/>
      <c r="CC21" s="539"/>
      <c r="CD21" s="539"/>
      <c r="CE21" s="539"/>
      <c r="CF21" s="539"/>
      <c r="CG21" s="539"/>
      <c r="CH21" s="539"/>
      <c r="CI21" s="539"/>
      <c r="CJ21" s="539"/>
      <c r="CK21" s="539"/>
      <c r="CL21" s="539"/>
      <c r="CM21" s="539"/>
      <c r="CN21" s="539"/>
      <c r="CO21" s="53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539"/>
      <c r="P22" s="539"/>
      <c r="Q22" s="539"/>
      <c r="R22" s="539"/>
      <c r="S22" s="539"/>
      <c r="T22" s="539"/>
      <c r="U22" s="539"/>
      <c r="V22" s="539"/>
      <c r="W22" s="539"/>
      <c r="X22" s="539"/>
      <c r="Y22" s="539"/>
      <c r="Z22" s="539"/>
      <c r="AA22" s="539"/>
      <c r="AB22" s="539"/>
      <c r="AC22" s="539"/>
      <c r="AD22" s="539"/>
      <c r="AE22" s="539"/>
      <c r="AF22" s="539"/>
      <c r="AG22" s="539"/>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BW22" s="539"/>
      <c r="BX22" s="539"/>
      <c r="BY22" s="539"/>
      <c r="BZ22" s="539"/>
      <c r="CA22" s="539"/>
      <c r="CB22" s="539"/>
      <c r="CC22" s="539"/>
      <c r="CD22" s="539"/>
      <c r="CE22" s="539"/>
      <c r="CF22" s="539"/>
      <c r="CG22" s="539"/>
      <c r="CH22" s="539"/>
      <c r="CI22" s="539"/>
      <c r="CJ22" s="539"/>
      <c r="CK22" s="539"/>
      <c r="CL22" s="539"/>
      <c r="CM22" s="539"/>
      <c r="CN22" s="539"/>
      <c r="CO22" s="53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539"/>
      <c r="P23" s="539"/>
      <c r="Q23" s="539"/>
      <c r="R23" s="539"/>
      <c r="S23" s="539"/>
      <c r="T23" s="539"/>
      <c r="U23" s="539"/>
      <c r="V23" s="539"/>
      <c r="W23" s="539"/>
      <c r="X23" s="539"/>
      <c r="Y23" s="539"/>
      <c r="Z23" s="539"/>
      <c r="AA23" s="539"/>
      <c r="AB23" s="539"/>
      <c r="AC23" s="539"/>
      <c r="AD23" s="539"/>
      <c r="AE23" s="539"/>
      <c r="AF23" s="539"/>
      <c r="AG23" s="539"/>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BW23" s="539"/>
      <c r="BX23" s="539"/>
      <c r="BY23" s="539"/>
      <c r="BZ23" s="539"/>
      <c r="CA23" s="539"/>
      <c r="CB23" s="539"/>
      <c r="CC23" s="539"/>
      <c r="CD23" s="539"/>
      <c r="CE23" s="539"/>
      <c r="CF23" s="539"/>
      <c r="CG23" s="539"/>
      <c r="CH23" s="539"/>
      <c r="CI23" s="539"/>
      <c r="CJ23" s="539"/>
      <c r="CK23" s="539"/>
      <c r="CL23" s="539"/>
      <c r="CM23" s="539"/>
      <c r="CN23" s="539"/>
      <c r="CO23" s="53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539"/>
      <c r="P24" s="539"/>
      <c r="Q24" s="539"/>
      <c r="R24" s="538"/>
      <c r="S24" s="539"/>
      <c r="T24" s="539"/>
      <c r="U24" s="539"/>
      <c r="V24" s="539"/>
      <c r="W24" s="539"/>
      <c r="X24" s="539"/>
      <c r="Y24" s="539"/>
      <c r="Z24" s="539"/>
      <c r="AA24" s="539"/>
      <c r="AB24" s="539"/>
      <c r="AC24" s="539"/>
      <c r="AD24" s="539"/>
      <c r="AE24" s="539"/>
      <c r="AF24" s="539"/>
      <c r="AG24" s="539"/>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BW24" s="539"/>
      <c r="BX24" s="539"/>
      <c r="BY24" s="539"/>
      <c r="BZ24" s="539"/>
      <c r="CA24" s="539"/>
      <c r="CB24" s="539"/>
      <c r="CC24" s="539"/>
      <c r="CD24" s="539"/>
      <c r="CE24" s="539"/>
      <c r="CF24" s="539"/>
      <c r="CG24" s="539"/>
      <c r="CH24" s="539"/>
      <c r="CI24" s="539"/>
      <c r="CJ24" s="539"/>
      <c r="CK24" s="539"/>
      <c r="CL24" s="539"/>
      <c r="CM24" s="539"/>
      <c r="CN24" s="539"/>
      <c r="CO24" s="53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539"/>
      <c r="P25" s="539"/>
      <c r="Q25" s="539"/>
      <c r="R25" s="538"/>
      <c r="S25" s="539"/>
      <c r="T25" s="539"/>
      <c r="U25" s="539"/>
      <c r="V25" s="539"/>
      <c r="W25" s="539"/>
      <c r="X25" s="539"/>
      <c r="Y25" s="539"/>
      <c r="Z25" s="539"/>
      <c r="AA25" s="539"/>
      <c r="AB25" s="539"/>
      <c r="AC25" s="539"/>
      <c r="AD25" s="539"/>
      <c r="AE25" s="539"/>
      <c r="AF25" s="539"/>
      <c r="AG25" s="539"/>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BW25" s="539"/>
      <c r="BX25" s="539"/>
      <c r="BY25" s="539"/>
      <c r="BZ25" s="539"/>
      <c r="CA25" s="539"/>
      <c r="CB25" s="539"/>
      <c r="CC25" s="539"/>
      <c r="CD25" s="539"/>
      <c r="CE25" s="539"/>
      <c r="CF25" s="539"/>
      <c r="CG25" s="539"/>
      <c r="CH25" s="539"/>
      <c r="CI25" s="539"/>
      <c r="CJ25" s="539"/>
      <c r="CK25" s="539"/>
      <c r="CL25" s="539"/>
      <c r="CM25" s="539"/>
      <c r="CN25" s="539"/>
      <c r="CO25" s="53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539"/>
      <c r="P26" s="539"/>
      <c r="Q26" s="539"/>
      <c r="R26" s="538"/>
      <c r="S26" s="539"/>
      <c r="T26" s="539"/>
      <c r="U26" s="539"/>
      <c r="V26" s="539"/>
      <c r="W26" s="539"/>
      <c r="X26" s="539"/>
      <c r="Y26" s="539"/>
      <c r="Z26" s="539"/>
      <c r="AA26" s="539"/>
      <c r="AB26" s="539"/>
      <c r="AC26" s="539"/>
      <c r="AD26" s="539"/>
      <c r="AE26" s="539"/>
      <c r="AF26" s="539"/>
      <c r="AG26" s="539"/>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BW26" s="539"/>
      <c r="BX26" s="539"/>
      <c r="BY26" s="539"/>
      <c r="BZ26" s="539"/>
      <c r="CA26" s="539"/>
      <c r="CB26" s="539"/>
      <c r="CC26" s="539"/>
      <c r="CD26" s="539"/>
      <c r="CE26" s="539"/>
      <c r="CF26" s="539"/>
      <c r="CG26" s="539"/>
      <c r="CH26" s="539"/>
      <c r="CI26" s="539"/>
      <c r="CJ26" s="539"/>
      <c r="CK26" s="539"/>
      <c r="CL26" s="539"/>
      <c r="CM26" s="539"/>
      <c r="CN26" s="539"/>
      <c r="CO26" s="53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539"/>
      <c r="P27" s="538"/>
      <c r="Q27" s="539"/>
      <c r="R27" s="539"/>
      <c r="S27" s="539"/>
      <c r="T27" s="539"/>
      <c r="U27" s="539"/>
      <c r="V27" s="539"/>
      <c r="W27" s="539"/>
      <c r="X27" s="539"/>
      <c r="Y27" s="539"/>
      <c r="Z27" s="539"/>
      <c r="AA27" s="539"/>
      <c r="AB27" s="539"/>
      <c r="AC27" s="539"/>
      <c r="AD27" s="539"/>
      <c r="AE27" s="539"/>
      <c r="AF27" s="539"/>
      <c r="AG27" s="539"/>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BW27" s="539"/>
      <c r="BX27" s="539"/>
      <c r="BY27" s="539"/>
      <c r="BZ27" s="539"/>
      <c r="CA27" s="539"/>
      <c r="CB27" s="539"/>
      <c r="CC27" s="539"/>
      <c r="CD27" s="539"/>
      <c r="CE27" s="539"/>
      <c r="CF27" s="539"/>
      <c r="CG27" s="539"/>
      <c r="CH27" s="539"/>
      <c r="CI27" s="539"/>
      <c r="CJ27" s="539"/>
      <c r="CK27" s="539"/>
      <c r="CL27" s="539"/>
      <c r="CM27" s="539"/>
      <c r="CN27" s="539"/>
      <c r="CO27" s="53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s="5" customFormat="1" x14ac:dyDescent="0.2">
      <c r="A40" s="193">
        <f>TblRezone[[#This Row],[Hour]]</f>
        <v>37</v>
      </c>
      <c r="B40" s="434">
        <f ca="1">SUM(TblConstr[[#This Row],[Plain]:[Water]])</f>
        <v>0</v>
      </c>
      <c r="C40" s="173">
        <f ca="1">SUM(TblConstr[[#This Row],[Tot Hom]:[Tot Doc]])</f>
        <v>50</v>
      </c>
      <c r="D40" s="173">
        <f t="shared" si="2"/>
        <v>0</v>
      </c>
      <c r="E40" s="194"/>
      <c r="F40" s="148">
        <f ca="1">TblConstr[[#This Row],[Barren]]+TblConstr[[#This Row],[Buildings]]+TblConstr[[#This Row],[Incoming]]</f>
        <v>50</v>
      </c>
      <c r="G40" s="195">
        <f ca="1">OFFSET(TblConstr[[#This Row],[Plain]],-1,0)+TblConstr[[#This Row],[Ch_Plain]]</f>
        <v>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45816.499999999913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158460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35">
        <f ca="1">ROUNDDOWN( MAX(1 - MIN(facs_constr_factor*TblConstr[[#This Row],[Facs -DB]],facs_constr_max) + tech_1_11*TblTech[[#This Row],[11-1]] + tech_6_3_2*TblTech[[#This Row],[6-3]] + tech_5_2_3*TblTech[[#This Row],[5-2]], 1-global_constr_cap) * TblConstr[[#This Row],[RCPA Lumber]],0)</f>
        <v>31</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35">
        <f ca="1">ROUNDDOWN( MAX(1 - MIN(facs_constr_factor*TblConstr[[#This Row],[Facs DB]],facs_constr_max) + tech_1_11*TblTech[[#This Row],[1-11]] + tech_6_3_2*TblTech[[#This Row],[6-3]] + tech_5_2_3*TblTech[[#This Row],[5-2]], 1-global_constr_cap) * ROUND((TblConstr[[#This Row],[Land]]-250)*0.285 + 87.5 + 0/4.25,0),0)</f>
        <v>31</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600</v>
      </c>
      <c r="AW40" s="35">
        <f ca="1">ROUND((TblConstr[[#This Row],[Land]]-250 - IF(TblExplore[[#This Row],[Land Bonus]]&lt;&gt;0,20,0))*0.285 + 87.5 + 0/4.25,0)</f>
        <v>31</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50</v>
      </c>
      <c r="BU40" s="167">
        <f ca="1">TblImps[[#This Row],[Time]]</f>
        <v>45816.499999999913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30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30</v>
      </c>
      <c r="DH40" s="5">
        <f t="shared" ca="1" si="10"/>
        <v>0</v>
      </c>
      <c r="DI40" s="5">
        <f t="shared" ca="1" si="0"/>
        <v>0</v>
      </c>
      <c r="DJ40" s="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x14ac:dyDescent="0.2">
      <c r="A52" s="175">
        <f>TblRezone[[#This Row],[Hour]]</f>
        <v>49</v>
      </c>
      <c r="B52" s="176">
        <f ca="1">SUM(TblConstr[[#This Row],[Plain]:[Water]])</f>
        <v>0</v>
      </c>
      <c r="C52" s="177">
        <f ca="1">SUM(TblConstr[[#This Row],[Tot Hom]:[Tot Doc]])</f>
        <v>50</v>
      </c>
      <c r="D52" s="177">
        <f t="shared" si="11"/>
        <v>0</v>
      </c>
      <c r="E52" s="178"/>
      <c r="F52" s="61">
        <f ca="1">TblConstr[[#This Row],[Barren]]+TblConstr[[#This Row],[Buildings]]+TblConstr[[#This Row],[Incoming]]</f>
        <v>50</v>
      </c>
      <c r="G52" s="187">
        <f ca="1">OFFSET(TblConstr[[#This Row],[Plain]],-1,0)+TblConstr[[#This Row],[Ch_Plain]]</f>
        <v>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45816.999999999884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168547</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94">
        <f ca="1">ROUNDDOWN( MAX(1 - MIN(facs_constr_factor*TblConstr[[#This Row],[Facs -DB]],facs_constr_max) + tech_1_11*TblTech[[#This Row],[11-1]] + tech_6_3_2*TblTech[[#This Row],[6-3]] + tech_5_2_3*TblTech[[#This Row],[5-2]], 1-global_constr_cap) * TblConstr[[#This Row],[RCPA Lumber]],0)</f>
        <v>31</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94">
        <f ca="1">ROUNDDOWN( MAX(1 - MIN(facs_constr_factor*TblConstr[[#This Row],[Facs DB]],facs_constr_max) + tech_1_11*TblTech[[#This Row],[1-11]] + tech_6_3_2*TblTech[[#This Row],[6-3]] + tech_5_2_3*TblTech[[#This Row],[5-2]], 1-global_constr_cap) * ROUND((TblConstr[[#This Row],[Land]]-250)*0.285 + 87.5 + 0/4.25,0),0)</f>
        <v>31</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600</v>
      </c>
      <c r="AW52" s="94">
        <f ca="1">ROUND((TblConstr[[#This Row],[Land]]-250 - IF(TblExplore[[#This Row],[Land Bonus]]&lt;&gt;0,20,0))*0.285 + 87.5 + 0/4.25,0)</f>
        <v>31</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50</v>
      </c>
      <c r="BU52" s="159">
        <f ca="1">TblImps[[#This Row],[Time]]</f>
        <v>45816.999999999884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30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30</v>
      </c>
      <c r="DH52" s="45">
        <f t="shared" ca="1" si="10"/>
        <v>0</v>
      </c>
      <c r="DI52" s="45">
        <f t="shared" ca="1" si="0"/>
        <v>0</v>
      </c>
      <c r="DJ52" s="4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27" t="s">
        <v>314</v>
      </c>
      <c r="B1269" s="48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6" priority="73" stopIfTrue="1">
      <formula>XEZ137&lt;0</formula>
    </cfRule>
  </conditionalFormatting>
  <conditionalFormatting sqref="A137:D1268 A1271:D65537 F1271:H65537 F137:H1268">
    <cfRule type="expression" dxfId="65" priority="74" stopIfTrue="1">
      <formula>XEV137&lt;0</formula>
    </cfRule>
  </conditionalFormatting>
  <conditionalFormatting sqref="E1271:E65537 E137:E1268">
    <cfRule type="expression" dxfId="64" priority="75" stopIfTrue="1">
      <formula>XEU137&lt;0</formula>
    </cfRule>
  </conditionalFormatting>
  <conditionalFormatting sqref="DI1271:DJ52023 O1271:AG52052 O137:AG1268 BV1271:DH52052 BV137:DJ1268">
    <cfRule type="expression" dxfId="63" priority="76" stopIfTrue="1">
      <formula>ROW()-2=#REF!</formula>
    </cfRule>
  </conditionalFormatting>
  <conditionalFormatting sqref="A1269:AG1270 BV1269:DJ1270">
    <cfRule type="expression" dxfId="62" priority="77" stopIfTrue="1">
      <formula>$A$1270&gt;144</formula>
    </cfRule>
  </conditionalFormatting>
  <conditionalFormatting sqref="K1271:L65537 K137:L1268">
    <cfRule type="expression" dxfId="61" priority="95" stopIfTrue="1">
      <formula>A137&lt;0</formula>
    </cfRule>
  </conditionalFormatting>
  <conditionalFormatting sqref="AY4:BQ136">
    <cfRule type="expression" dxfId="60" priority="7" stopIfTrue="1">
      <formula>OR(AY4&lt;0,ROW()-3=$A$1270)</formula>
    </cfRule>
  </conditionalFormatting>
  <conditionalFormatting sqref="I1271:J65537 I137:J1268">
    <cfRule type="expression" dxfId="59" priority="98" stopIfTrue="1">
      <formula>A137&lt;0</formula>
    </cfRule>
  </conditionalFormatting>
  <conditionalFormatting sqref="A4:DJ35 A36:O38 Q36:W38 A39:W39 Y36:DJ39 A40:DJ52 A60:DJ136 A53:Q59 S53:X59 Z53:DJ59">
    <cfRule type="expression" dxfId="58" priority="13" stopIfTrue="1">
      <formula>ROW()-3=$A$1270</formula>
    </cfRule>
    <cfRule type="expression" dxfId="49" priority="136">
      <formula>$A4=37</formula>
    </cfRule>
    <cfRule type="expression" dxfId="57" priority="137">
      <formula>ROUND(($A4-1)/12,0)=INT($A4-1)/12</formula>
    </cfRule>
  </conditionalFormatting>
  <conditionalFormatting sqref="A1:XFD3">
    <cfRule type="expression" dxfId="56" priority="138">
      <formula>$A$1270&lt;0</formula>
    </cfRule>
  </conditionalFormatting>
  <conditionalFormatting sqref="P36:P38">
    <cfRule type="expression" dxfId="55" priority="4" stopIfTrue="1">
      <formula>ROW()-3=$B$1270</formula>
    </cfRule>
  </conditionalFormatting>
  <conditionalFormatting sqref="P36:P38">
    <cfRule type="expression" dxfId="50" priority="5">
      <formula>$A36=37</formula>
    </cfRule>
    <cfRule type="expression" dxfId="54" priority="6">
      <formula>ROUND(($A36-1)/12,0)=INT($A36-1)/12</formula>
    </cfRule>
  </conditionalFormatting>
  <conditionalFormatting sqref="X36:X39">
    <cfRule type="expression" dxfId="53" priority="1" stopIfTrue="1">
      <formula>ROW()-3=$B$1270</formula>
    </cfRule>
  </conditionalFormatting>
  <conditionalFormatting sqref="X36:X39">
    <cfRule type="expression" dxfId="51" priority="2">
      <formula>$A36=37</formula>
    </cfRule>
    <cfRule type="expression" dxfId="52"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1" t="s">
        <v>299</v>
      </c>
      <c r="M1" s="483"/>
      <c r="N1" s="483"/>
      <c r="O1" s="483"/>
      <c r="P1" s="483"/>
      <c r="Q1" s="483"/>
      <c r="R1" s="28"/>
      <c r="S1" s="5" t="s">
        <v>353</v>
      </c>
      <c r="T1" s="5" t="s">
        <v>175</v>
      </c>
      <c r="AB1" s="530" t="s">
        <v>77</v>
      </c>
      <c r="AC1" s="530"/>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540"/>
      <c r="T5" s="539"/>
      <c r="U5" s="539"/>
      <c r="V5" s="539"/>
      <c r="W5" s="539"/>
      <c r="X5" s="539"/>
      <c r="Y5" s="539"/>
      <c r="Z5" s="539"/>
      <c r="AA5" s="159">
        <f ca="1">TblImps[[#This Row],[Real time]]</f>
        <v>45815.041666666664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540"/>
      <c r="T6" s="539"/>
      <c r="U6" s="539"/>
      <c r="V6" s="539"/>
      <c r="W6" s="539"/>
      <c r="X6" s="539"/>
      <c r="Y6" s="539"/>
      <c r="Z6" s="539"/>
      <c r="AA6" s="159">
        <f ca="1">TblImps[[#This Row],[Real time]]</f>
        <v>45815.083333333328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540"/>
      <c r="T7" s="538"/>
      <c r="U7" s="539"/>
      <c r="V7" s="539"/>
      <c r="W7" s="539"/>
      <c r="X7" s="539"/>
      <c r="Y7" s="539"/>
      <c r="Z7" s="539"/>
      <c r="AA7" s="159">
        <f ca="1">TblImps[[#This Row],[Real time]]</f>
        <v>45815.124999999993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540"/>
      <c r="T8" s="538"/>
      <c r="U8" s="539"/>
      <c r="V8" s="539"/>
      <c r="W8" s="539"/>
      <c r="X8" s="539"/>
      <c r="Y8" s="539"/>
      <c r="Z8" s="539"/>
      <c r="AA8" s="159">
        <f ca="1">TblImps[[#This Row],[Real time]]</f>
        <v>45815.166666666657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540"/>
      <c r="T9" s="539"/>
      <c r="U9" s="539"/>
      <c r="V9" s="539"/>
      <c r="W9" s="539"/>
      <c r="X9" s="539"/>
      <c r="Y9" s="539"/>
      <c r="Z9" s="539"/>
      <c r="AA9" s="159">
        <f ca="1">TblImps[[#This Row],[Real time]]</f>
        <v>45815.208333333321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540"/>
      <c r="T10" s="539"/>
      <c r="U10" s="539"/>
      <c r="V10" s="539"/>
      <c r="W10" s="539"/>
      <c r="X10" s="539"/>
      <c r="Y10" s="539"/>
      <c r="Z10" s="539"/>
      <c r="AA10" s="159">
        <f ca="1">TblImps[[#This Row],[Real time]]</f>
        <v>45815.249999999985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540"/>
      <c r="T11" s="539"/>
      <c r="U11" s="539"/>
      <c r="V11" s="539"/>
      <c r="W11" s="539"/>
      <c r="X11" s="539"/>
      <c r="Y11" s="539"/>
      <c r="Z11" s="539"/>
      <c r="AA11" s="159">
        <f ca="1">TblImps[[#This Row],[Real time]]</f>
        <v>45815.29166666665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540"/>
      <c r="T12" s="539"/>
      <c r="U12" s="539"/>
      <c r="V12" s="539"/>
      <c r="W12" s="539"/>
      <c r="X12" s="539"/>
      <c r="Y12" s="539"/>
      <c r="Z12" s="539"/>
      <c r="AA12" s="159">
        <f ca="1">TblImps[[#This Row],[Real time]]</f>
        <v>45815.333333333314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540"/>
      <c r="T13" s="539"/>
      <c r="U13" s="539"/>
      <c r="V13" s="539"/>
      <c r="W13" s="539"/>
      <c r="X13" s="539"/>
      <c r="Y13" s="539"/>
      <c r="Z13" s="539"/>
      <c r="AA13" s="159">
        <f ca="1">TblImps[[#This Row],[Real time]]</f>
        <v>45815.374999999978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40"/>
      <c r="T14" s="539"/>
      <c r="U14" s="539"/>
      <c r="V14" s="539"/>
      <c r="W14" s="539"/>
      <c r="X14" s="539"/>
      <c r="Y14" s="539"/>
      <c r="Z14" s="539"/>
      <c r="AA14" s="159">
        <f ca="1">TblImps[[#This Row],[Real time]]</f>
        <v>45815.416666666642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40"/>
      <c r="T15" s="538"/>
      <c r="U15" s="539"/>
      <c r="V15" s="539"/>
      <c r="W15" s="539"/>
      <c r="X15" s="539"/>
      <c r="Y15" s="539"/>
      <c r="Z15" s="539"/>
      <c r="AA15" s="159">
        <f ca="1">TblImps[[#This Row],[Real time]]</f>
        <v>45815.458333333307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540"/>
      <c r="T17" s="539"/>
      <c r="U17" s="539"/>
      <c r="V17" s="539"/>
      <c r="W17" s="539"/>
      <c r="X17" s="539"/>
      <c r="Y17" s="539"/>
      <c r="Z17" s="539"/>
      <c r="AA17" s="159">
        <f ca="1">TblImps[[#This Row],[Real time]]</f>
        <v>45815.541666666635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540"/>
      <c r="T18" s="539"/>
      <c r="U18" s="539"/>
      <c r="V18" s="539"/>
      <c r="W18" s="539"/>
      <c r="X18" s="539"/>
      <c r="Y18" s="539"/>
      <c r="Z18" s="539"/>
      <c r="AA18" s="159">
        <f ca="1">TblImps[[#This Row],[Real time]]</f>
        <v>45815.583333333299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540"/>
      <c r="T19" s="538"/>
      <c r="U19" s="539"/>
      <c r="V19" s="539"/>
      <c r="W19" s="539"/>
      <c r="X19" s="539"/>
      <c r="Y19" s="539"/>
      <c r="Z19" s="539"/>
      <c r="AA19" s="159">
        <f ca="1">TblImps[[#This Row],[Real time]]</f>
        <v>45815.624999999964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540"/>
      <c r="T20" s="538"/>
      <c r="U20" s="539"/>
      <c r="V20" s="539"/>
      <c r="W20" s="539"/>
      <c r="X20" s="539"/>
      <c r="Y20" s="539"/>
      <c r="Z20" s="539"/>
      <c r="AA20" s="159">
        <f ca="1">TblImps[[#This Row],[Real time]]</f>
        <v>45815.666666666628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540"/>
      <c r="T21" s="539"/>
      <c r="U21" s="539"/>
      <c r="V21" s="539"/>
      <c r="W21" s="539"/>
      <c r="X21" s="539"/>
      <c r="Y21" s="539"/>
      <c r="Z21" s="539"/>
      <c r="AA21" s="159">
        <f ca="1">TblImps[[#This Row],[Real time]]</f>
        <v>45815.708333333292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540"/>
      <c r="T22" s="539"/>
      <c r="U22" s="539"/>
      <c r="V22" s="539"/>
      <c r="W22" s="539"/>
      <c r="X22" s="539"/>
      <c r="Y22" s="539"/>
      <c r="Z22" s="539"/>
      <c r="AA22" s="159">
        <f ca="1">TblImps[[#This Row],[Real time]]</f>
        <v>45815.749999999956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540"/>
      <c r="T23" s="539"/>
      <c r="U23" s="539"/>
      <c r="V23" s="539"/>
      <c r="W23" s="539"/>
      <c r="X23" s="539"/>
      <c r="Y23" s="539"/>
      <c r="Z23" s="539"/>
      <c r="AA23" s="159">
        <f ca="1">TblImps[[#This Row],[Real time]]</f>
        <v>45815.791666666621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540"/>
      <c r="T24" s="539"/>
      <c r="U24" s="539"/>
      <c r="V24" s="539"/>
      <c r="W24" s="539"/>
      <c r="X24" s="539"/>
      <c r="Y24" s="539"/>
      <c r="Z24" s="539"/>
      <c r="AA24" s="159">
        <f ca="1">TblImps[[#This Row],[Real time]]</f>
        <v>45815.833333333285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540"/>
      <c r="T25" s="539"/>
      <c r="U25" s="539"/>
      <c r="V25" s="539"/>
      <c r="W25" s="539"/>
      <c r="X25" s="539"/>
      <c r="Y25" s="539"/>
      <c r="Z25" s="539"/>
      <c r="AA25" s="159">
        <f ca="1">TblImps[[#This Row],[Real time]]</f>
        <v>45815.874999999949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540"/>
      <c r="T26" s="539"/>
      <c r="U26" s="539"/>
      <c r="V26" s="539"/>
      <c r="W26" s="539"/>
      <c r="X26" s="539"/>
      <c r="Y26" s="539"/>
      <c r="Z26" s="539"/>
      <c r="AA26" s="159">
        <f ca="1">TblImps[[#This Row],[Real time]]</f>
        <v>45815.916666666613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540"/>
      <c r="T27" s="538"/>
      <c r="U27" s="539"/>
      <c r="V27" s="539"/>
      <c r="W27" s="539"/>
      <c r="X27" s="539"/>
      <c r="Y27" s="539"/>
      <c r="Z27" s="539"/>
      <c r="AA27" s="159">
        <f ca="1">TblImps[[#This Row],[Real time]]</f>
        <v>45815.958333333278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s="5" customFormat="1" ht="12.75" customHeight="1" x14ac:dyDescent="0.2">
      <c r="A40" s="193">
        <f>TblRezone[[#This Row],[Hour]]</f>
        <v>37</v>
      </c>
      <c r="B40" s="230">
        <f ca="1">TblConstr[[#This Row],[Land]]</f>
        <v>50</v>
      </c>
      <c r="C40" s="231"/>
      <c r="D40" s="232">
        <f ca="1">TblConstr[[#This Row],[Plain]]</f>
        <v>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50</v>
      </c>
      <c r="R40" s="193">
        <f>TblExplore[[#This Row],[Hour]]</f>
        <v>37</v>
      </c>
      <c r="S40" s="233"/>
      <c r="T40" s="201"/>
      <c r="U40" s="201"/>
      <c r="V40" s="201"/>
      <c r="W40" s="201"/>
      <c r="X40" s="201"/>
      <c r="Y40" s="201"/>
      <c r="Z40" s="201"/>
      <c r="AA40" s="167">
        <f ca="1">TblImps[[#This Row],[Real time]]</f>
        <v>45816.499999999913</v>
      </c>
      <c r="AB40" s="35">
        <f ca="1">TblMili[[#This Row],[Draftees]]</f>
        <v>441</v>
      </c>
      <c r="AC40" s="35">
        <f ca="1">TblProd[[#This Row],[Platinum]]</f>
        <v>158460</v>
      </c>
      <c r="AD40" s="231"/>
      <c r="AE40" s="5">
        <f ca="1">TblExplore[[#This Row],[Land]]-TblExplore[[#This Row],[Land Bonus]]*20</f>
        <v>50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x14ac:dyDescent="0.2">
      <c r="A52" s="175">
        <f>TblRezone[[#This Row],[Hour]]</f>
        <v>49</v>
      </c>
      <c r="B52" s="214">
        <f ca="1">TblConstr[[#This Row],[Land]]</f>
        <v>50</v>
      </c>
      <c r="C52" s="215"/>
      <c r="D52" s="216">
        <f ca="1">TblConstr[[#This Row],[Plain]]</f>
        <v>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541"/>
      <c r="M52" s="228"/>
      <c r="N52" s="217">
        <f ca="1">TblMili[[#This Row],[Smithies]]</f>
        <v>0</v>
      </c>
      <c r="O52" s="217">
        <f ca="1">TblPop[[#This Row],[Employment]]</f>
        <v>1</v>
      </c>
      <c r="P52" s="217">
        <f ca="1">TblImps[[#This Row],[Population]]</f>
        <v>1</v>
      </c>
      <c r="Q52" s="175">
        <f ca="1">TblExplore[[#This Row],[Land]]</f>
        <v>50</v>
      </c>
      <c r="R52" s="175">
        <f>TblExplore[[#This Row],[Hour]]</f>
        <v>49</v>
      </c>
      <c r="S52" s="218"/>
      <c r="T52" s="179"/>
      <c r="U52" s="179"/>
      <c r="V52" s="179"/>
      <c r="W52" s="179"/>
      <c r="X52" s="179"/>
      <c r="Y52" s="179"/>
      <c r="Z52" s="179"/>
      <c r="AA52" s="159">
        <f ca="1">TblImps[[#This Row],[Real time]]</f>
        <v>45816.999999999884</v>
      </c>
      <c r="AB52" s="94">
        <f ca="1">TblMili[[#This Row],[Draftees]]</f>
        <v>477</v>
      </c>
      <c r="AC52" s="94">
        <f ca="1">TblProd[[#This Row],[Platinum]]</f>
        <v>168547</v>
      </c>
      <c r="AD52" s="215"/>
      <c r="AE52" s="45">
        <f ca="1">TblExplore[[#This Row],[Land]]-TblExplore[[#This Row],[Land Bonus]]*20</f>
        <v>50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27" t="s">
        <v>314</v>
      </c>
      <c r="C1269" s="527"/>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 priority="19" stopIfTrue="1">
      <formula>$M26&lt;$M17</formula>
    </cfRule>
    <cfRule type="expression" dxfId="47" priority="20" stopIfTrue="1">
      <formula>$M17&lt;$M26</formula>
    </cfRule>
  </conditionalFormatting>
  <conditionalFormatting sqref="C1270 D1269:AJ1270 A1269:B1270">
    <cfRule type="expression" dxfId="46" priority="17" stopIfTrue="1">
      <formula>$B$1270&gt;144</formula>
    </cfRule>
  </conditionalFormatting>
  <conditionalFormatting sqref="A4:J136 N4:AJ12 N49:AJ136 N41:S48 U41:AJ48 N16:AJ23 N13:V15 X13:AJ15 N27:AJ40 N24:V26 X24:AJ26">
    <cfRule type="expression" dxfId="45" priority="7" stopIfTrue="1">
      <formula>ROW()-3=$B$1270</formula>
    </cfRule>
  </conditionalFormatting>
  <conditionalFormatting sqref="D4:J136">
    <cfRule type="expression" dxfId="44" priority="8" stopIfTrue="1">
      <formula>OR(ROW()-3=$B$1270,D4&lt;0)</formula>
    </cfRule>
  </conditionalFormatting>
  <conditionalFormatting sqref="A1:XFD3">
    <cfRule type="expression" dxfId="43" priority="22" stopIfTrue="1">
      <formula>$B$1270&lt;0</formula>
    </cfRule>
  </conditionalFormatting>
  <conditionalFormatting sqref="A4:AJ12 A41:S48 U41:AJ48 A16:AJ23 A13:V15 X13:AJ15 A27:AJ40 A24:V26 X24:AJ26 A49:AJ136">
    <cfRule type="expression" dxfId="35" priority="9">
      <formula>$A4=37</formula>
    </cfRule>
    <cfRule type="expression" dxfId="42" priority="16">
      <formula>ROUND(($A4-1)/12,0)=INT($A4-1)/12</formula>
    </cfRule>
  </conditionalFormatting>
  <conditionalFormatting sqref="W13:W15">
    <cfRule type="expression" dxfId="41" priority="4" stopIfTrue="1">
      <formula>ROW()-3=$A$1270</formula>
    </cfRule>
    <cfRule type="expression" dxfId="36" priority="5">
      <formula>$A13=37</formula>
    </cfRule>
    <cfRule type="expression" dxfId="40" priority="6">
      <formula>ROUND(($A13-1)/12,0)=INT($A13-1)/12</formula>
    </cfRule>
  </conditionalFormatting>
  <conditionalFormatting sqref="W24:W26">
    <cfRule type="expression" dxfId="39" priority="1" stopIfTrue="1">
      <formula>ROW()-3=$B$1270</formula>
    </cfRule>
  </conditionalFormatting>
  <conditionalFormatting sqref="W24:W26">
    <cfRule type="expression" dxfId="37" priority="2">
      <formula>$A24=37</formula>
    </cfRule>
    <cfRule type="expression" dxfId="38"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L5" s="539"/>
      <c r="M5" s="539"/>
      <c r="N5" s="539"/>
      <c r="O5" s="539"/>
      <c r="P5" s="539"/>
      <c r="Q5" s="539"/>
      <c r="R5" s="53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L6" s="539"/>
      <c r="M6" s="539"/>
      <c r="N6" s="539"/>
      <c r="O6" s="539"/>
      <c r="P6" s="539"/>
      <c r="Q6" s="539"/>
      <c r="R6" s="53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L7" s="539"/>
      <c r="M7" s="539"/>
      <c r="N7" s="539"/>
      <c r="O7" s="539"/>
      <c r="P7" s="539"/>
      <c r="Q7" s="539"/>
      <c r="R7" s="53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L8" s="539"/>
      <c r="M8" s="539"/>
      <c r="N8" s="539"/>
      <c r="O8" s="539"/>
      <c r="P8" s="539"/>
      <c r="Q8" s="539"/>
      <c r="R8" s="53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L9" s="539"/>
      <c r="M9" s="539"/>
      <c r="N9" s="539"/>
      <c r="O9" s="539"/>
      <c r="P9" s="539"/>
      <c r="Q9" s="539"/>
      <c r="R9" s="53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L10" s="539"/>
      <c r="M10" s="539"/>
      <c r="N10" s="539"/>
      <c r="O10" s="539"/>
      <c r="P10" s="539"/>
      <c r="Q10" s="539"/>
      <c r="R10" s="53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L11" s="539"/>
      <c r="M11" s="539"/>
      <c r="N11" s="539"/>
      <c r="O11" s="539"/>
      <c r="P11" s="539"/>
      <c r="Q11" s="539"/>
      <c r="R11" s="53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L12" s="539"/>
      <c r="M12" s="539"/>
      <c r="N12" s="539"/>
      <c r="O12" s="539"/>
      <c r="P12" s="539"/>
      <c r="Q12" s="539"/>
      <c r="R12" s="53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L13" s="539"/>
      <c r="M13" s="539"/>
      <c r="N13" s="539"/>
      <c r="O13" s="539"/>
      <c r="P13" s="539"/>
      <c r="Q13" s="539"/>
      <c r="R13" s="53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L14" s="539"/>
      <c r="M14" s="539"/>
      <c r="N14" s="539"/>
      <c r="O14" s="539"/>
      <c r="P14" s="539"/>
      <c r="Q14" s="539"/>
      <c r="R14" s="53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L15" s="539"/>
      <c r="M15" s="539"/>
      <c r="N15" s="539"/>
      <c r="O15" s="539"/>
      <c r="P15" s="539"/>
      <c r="Q15" s="539"/>
      <c r="R15" s="53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L17" s="539"/>
      <c r="M17" s="539"/>
      <c r="N17" s="539"/>
      <c r="O17" s="539"/>
      <c r="P17" s="539"/>
      <c r="Q17" s="539"/>
      <c r="R17" s="53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L18" s="539"/>
      <c r="M18" s="539"/>
      <c r="N18" s="539"/>
      <c r="O18" s="539"/>
      <c r="P18" s="539"/>
      <c r="Q18" s="539"/>
      <c r="R18" s="53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L19" s="539"/>
      <c r="M19" s="539"/>
      <c r="N19" s="539"/>
      <c r="O19" s="539"/>
      <c r="P19" s="539"/>
      <c r="Q19" s="539"/>
      <c r="R19" s="53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L20" s="539"/>
      <c r="M20" s="539"/>
      <c r="N20" s="539"/>
      <c r="O20" s="539"/>
      <c r="P20" s="539"/>
      <c r="Q20" s="539"/>
      <c r="R20" s="53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L21" s="539"/>
      <c r="M21" s="539"/>
      <c r="N21" s="539"/>
      <c r="O21" s="539"/>
      <c r="P21" s="539"/>
      <c r="Q21" s="539"/>
      <c r="R21" s="53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L22" s="539"/>
      <c r="M22" s="539"/>
      <c r="N22" s="539"/>
      <c r="O22" s="539"/>
      <c r="P22" s="539"/>
      <c r="Q22" s="539"/>
      <c r="R22" s="53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L23" s="539"/>
      <c r="M23" s="539"/>
      <c r="N23" s="539"/>
      <c r="O23" s="539"/>
      <c r="P23" s="539"/>
      <c r="Q23" s="539"/>
      <c r="R23" s="53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L24" s="539"/>
      <c r="M24" s="539"/>
      <c r="N24" s="539"/>
      <c r="O24" s="539"/>
      <c r="P24" s="539"/>
      <c r="Q24" s="539"/>
      <c r="R24" s="53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L25" s="539"/>
      <c r="M25" s="539"/>
      <c r="N25" s="539"/>
      <c r="O25" s="539"/>
      <c r="P25" s="539"/>
      <c r="Q25" s="539"/>
      <c r="R25" s="53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L26" s="539"/>
      <c r="M26" s="539"/>
      <c r="N26" s="539"/>
      <c r="O26" s="539"/>
      <c r="P26" s="539"/>
      <c r="Q26" s="539"/>
      <c r="R26" s="53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L27" s="539"/>
      <c r="M27" s="539"/>
      <c r="N27" s="539"/>
      <c r="O27" s="539"/>
      <c r="P27" s="539"/>
      <c r="Q27" s="539"/>
      <c r="R27" s="53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s="5" customFormat="1" x14ac:dyDescent="0.2">
      <c r="A40" s="230">
        <f ca="1">TblConstr[[#This Row],[Land]]</f>
        <v>50</v>
      </c>
      <c r="B40" s="232">
        <f ca="1">TblConstr[[#This Row],[Plain]]</f>
        <v>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45816.499999999913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158460</v>
      </c>
      <c r="W40" s="231"/>
      <c r="X40" s="35">
        <f ca="1">ROUND( (1-MIN(ROUND(facs_rezone_factor*TblRezone[[#This Row],[Facs]],4),facs_rezone_max) + tech_6_4*TblTech[[#This Row],[6-4]] + tech_10_2*TblTech[[#This Row],[10-2]] - IF(TblMagic[[#This Row],[Active Mechanical Genius]]&gt;0,mech_genius_bonus,0) + race_rezone_cost) * TblRezone[[#This Row],[Plat/acre*]],0)</f>
        <v>130</v>
      </c>
      <c r="Y40" s="35">
        <f ca="1">TblRezone[[#This Row],[Total acres]]*TblRezone[[#This Row],[Plat/acre]]</f>
        <v>0</v>
      </c>
      <c r="Z40" s="231"/>
      <c r="AA40" s="35">
        <f ca="1">(250+0.6*(TblRezone[[#This Row],[Land]]-250))</f>
        <v>130</v>
      </c>
      <c r="AB40" s="231"/>
      <c r="AC40" s="165">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x14ac:dyDescent="0.2">
      <c r="A52" s="214">
        <f ca="1">TblConstr[[#This Row],[Land]]</f>
        <v>50</v>
      </c>
      <c r="B52" s="216">
        <f ca="1">TblConstr[[#This Row],[Plain]]</f>
        <v>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45816.999999999884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168547</v>
      </c>
      <c r="W52" s="215"/>
      <c r="X52" s="94">
        <f ca="1">ROUND( (1-MIN(ROUND(facs_rezone_factor*TblRezone[[#This Row],[Facs]],4),facs_rezone_max) + tech_6_4*TblTech[[#This Row],[6-4]] + tech_10_2*TblTech[[#This Row],[10-2]] - IF(TblMagic[[#This Row],[Active Mechanical Genius]]&gt;0,mech_genius_bonus,0) + race_rezone_cost) * TblRezone[[#This Row],[Plat/acre*]],0)</f>
        <v>130</v>
      </c>
      <c r="Y52" s="94">
        <f ca="1">TblRezone[[#This Row],[Total acres]]*TblRezone[[#This Row],[Plat/acre]]</f>
        <v>0</v>
      </c>
      <c r="Z52" s="215"/>
      <c r="AA52" s="94">
        <f ca="1">(250+0.6*(TblRezone[[#This Row],[Land]]-250))</f>
        <v>130</v>
      </c>
      <c r="AB52" s="215"/>
      <c r="AC52" s="157">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0">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27" t="s">
        <v>314</v>
      </c>
      <c r="B1269" s="527"/>
      <c r="I1269" s="238" t="s">
        <v>304</v>
      </c>
      <c r="L1269" s="239"/>
      <c r="M1269" s="239">
        <v>-10</v>
      </c>
      <c r="N1269" s="239">
        <v>10</v>
      </c>
      <c r="O1269" s="239"/>
      <c r="P1269" s="239"/>
      <c r="Q1269" s="239"/>
      <c r="R1269" s="239"/>
    </row>
    <row r="1270" spans="1:18" x14ac:dyDescent="0.2">
      <c r="A1270" s="28">
        <f>Overview!E17</f>
        <v>0</v>
      </c>
      <c r="B1270" s="28"/>
      <c r="L1270" s="532" t="s">
        <v>303</v>
      </c>
      <c r="M1270" s="483"/>
      <c r="N1270" s="483"/>
      <c r="O1270" s="483"/>
      <c r="P1270" s="483"/>
      <c r="Q1270" s="483"/>
      <c r="R1270" s="483"/>
    </row>
  </sheetData>
  <mergeCells count="2">
    <mergeCell ref="L1270:R1270"/>
    <mergeCell ref="A1269:B1269"/>
  </mergeCells>
  <phoneticPr fontId="0" type="noConversion"/>
  <conditionalFormatting sqref="A1271:AC60158 A137:AC1268">
    <cfRule type="expression" dxfId="34" priority="14" stopIfTrue="1">
      <formula>ROW()-2=#REF!</formula>
    </cfRule>
  </conditionalFormatting>
  <conditionalFormatting sqref="A1269:AC1270">
    <cfRule type="expression" dxfId="33" priority="15" stopIfTrue="1">
      <formula>$A$1270&gt;144</formula>
    </cfRule>
  </conditionalFormatting>
  <conditionalFormatting sqref="A1:AC3">
    <cfRule type="expression" dxfId="32" priority="19" stopIfTrue="1">
      <formula>$A$1270&lt;0</formula>
    </cfRule>
  </conditionalFormatting>
  <conditionalFormatting sqref="A4:AC136">
    <cfRule type="expression" dxfId="31" priority="1" stopIfTrue="1">
      <formula>ROW()-3=$A$1270</formula>
    </cfRule>
    <cfRule type="expression" dxfId="30" priority="2" stopIfTrue="1">
      <formula>OR(AND(ROW()-3=$A$1270,A4="Ok",XFD4&lt;&gt;0),A4="Nope")</formula>
    </cfRule>
    <cfRule type="expression" dxfId="26" priority="4">
      <formula>$J4=37</formula>
    </cfRule>
    <cfRule type="expression" dxfId="29" priority="7">
      <formula>ROUND(($J4-1)/12,0)=INT($J4-1)/12</formula>
    </cfRule>
  </conditionalFormatting>
  <conditionalFormatting sqref="T76">
    <cfRule type="expression" dxfId="28" priority="13" stopIfTrue="1">
      <formula>S76=0</formula>
    </cfRule>
  </conditionalFormatting>
  <conditionalFormatting sqref="B4:H136">
    <cfRule type="cellIs" dxfId="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28" t="s">
        <v>31</v>
      </c>
      <c r="Q1" s="528"/>
      <c r="R1" s="528"/>
      <c r="S1" s="533" t="s">
        <v>472</v>
      </c>
      <c r="T1" s="528"/>
      <c r="U1" s="173"/>
      <c r="V1" s="528" t="s">
        <v>473</v>
      </c>
      <c r="W1" s="528"/>
      <c r="X1" s="5"/>
      <c r="Y1" s="528" t="s">
        <v>24</v>
      </c>
      <c r="Z1" s="528"/>
      <c r="AA1" s="528"/>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28" t="s">
        <v>488</v>
      </c>
      <c r="BJ1" s="528"/>
      <c r="BK1" s="528"/>
      <c r="BL1" s="528"/>
      <c r="BM1" s="528"/>
      <c r="BN1" s="528"/>
      <c r="BO1" s="528"/>
      <c r="BP1" s="528"/>
      <c r="BQ1" s="529"/>
      <c r="BR1" s="529"/>
      <c r="BS1" s="529"/>
      <c r="BT1" s="529"/>
      <c r="BU1" s="5"/>
      <c r="BW1" s="530" t="s">
        <v>296</v>
      </c>
      <c r="BX1" s="483"/>
      <c r="BY1" s="483"/>
      <c r="BZ1" s="28"/>
      <c r="CA1" s="5"/>
      <c r="CB1" s="5"/>
      <c r="CC1" s="28"/>
      <c r="CD1" s="28"/>
      <c r="CE1" s="28"/>
      <c r="CF1" s="28"/>
      <c r="CG1" s="28"/>
      <c r="CH1" s="28"/>
      <c r="CI1" s="28"/>
      <c r="CJ1" s="28"/>
      <c r="CK1" s="5"/>
      <c r="CL1" s="5"/>
      <c r="CM1" s="5"/>
      <c r="CO1" s="528" t="s">
        <v>310</v>
      </c>
      <c r="CP1" s="528"/>
      <c r="CQ1" s="528"/>
      <c r="CR1" s="529"/>
      <c r="CS1" s="529"/>
      <c r="CT1" s="529"/>
      <c r="CU1" s="529"/>
      <c r="CV1" s="529"/>
      <c r="CW1" s="529"/>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1143</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542"/>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45815.041666666664</v>
      </c>
      <c r="AG5" s="539"/>
      <c r="AH5" s="539"/>
      <c r="AI5" s="539"/>
      <c r="AJ5" s="539"/>
      <c r="AK5" s="539"/>
      <c r="AL5" s="539"/>
      <c r="AM5" s="539"/>
      <c r="AN5" s="53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305</v>
      </c>
      <c r="AX5" s="538"/>
      <c r="AY5" s="539"/>
      <c r="AZ5" s="539"/>
      <c r="BA5" s="539"/>
      <c r="BB5" s="539"/>
      <c r="BC5" s="539"/>
      <c r="BD5" s="539"/>
      <c r="BE5" s="539"/>
      <c r="BF5" s="53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542"/>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45815.083333333328</v>
      </c>
      <c r="AG6" s="539"/>
      <c r="AH6" s="539"/>
      <c r="AI6" s="539"/>
      <c r="AJ6" s="539"/>
      <c r="AK6" s="539"/>
      <c r="AL6" s="539"/>
      <c r="AM6" s="539"/>
      <c r="AN6" s="53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310</v>
      </c>
      <c r="AX6" s="539"/>
      <c r="AY6" s="539"/>
      <c r="AZ6" s="539"/>
      <c r="BA6" s="539"/>
      <c r="BB6" s="539"/>
      <c r="BC6" s="539"/>
      <c r="BD6" s="539"/>
      <c r="BE6" s="539"/>
      <c r="BF6" s="53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542"/>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45815.124999999993</v>
      </c>
      <c r="AG7" s="539"/>
      <c r="AH7" s="539"/>
      <c r="AI7" s="539"/>
      <c r="AJ7" s="539"/>
      <c r="AK7" s="539"/>
      <c r="AL7" s="539"/>
      <c r="AM7" s="539"/>
      <c r="AN7" s="53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315</v>
      </c>
      <c r="AX7" s="539"/>
      <c r="AY7" s="539"/>
      <c r="AZ7" s="539"/>
      <c r="BA7" s="539"/>
      <c r="BB7" s="539"/>
      <c r="BC7" s="539"/>
      <c r="BD7" s="539"/>
      <c r="BE7" s="539"/>
      <c r="BF7" s="53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542"/>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45815.166666666657</v>
      </c>
      <c r="AG8" s="539"/>
      <c r="AH8" s="539"/>
      <c r="AI8" s="539"/>
      <c r="AJ8" s="539"/>
      <c r="AK8" s="539"/>
      <c r="AL8" s="539"/>
      <c r="AM8" s="539"/>
      <c r="AN8" s="53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320</v>
      </c>
      <c r="AX8" s="539"/>
      <c r="AY8" s="539"/>
      <c r="AZ8" s="539"/>
      <c r="BA8" s="539"/>
      <c r="BB8" s="539"/>
      <c r="BC8" s="539"/>
      <c r="BD8" s="539"/>
      <c r="BE8" s="539"/>
      <c r="BF8" s="53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542"/>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45815.208333333321</v>
      </c>
      <c r="AG9" s="539"/>
      <c r="AH9" s="539"/>
      <c r="AI9" s="539"/>
      <c r="AJ9" s="539"/>
      <c r="AK9" s="539"/>
      <c r="AL9" s="539"/>
      <c r="AM9" s="539"/>
      <c r="AN9" s="53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324</v>
      </c>
      <c r="AX9" s="539"/>
      <c r="AY9" s="539"/>
      <c r="AZ9" s="539"/>
      <c r="BA9" s="539"/>
      <c r="BB9" s="539"/>
      <c r="BC9" s="539"/>
      <c r="BD9" s="539"/>
      <c r="BE9" s="539"/>
      <c r="BF9" s="53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542"/>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45815.249999999985</v>
      </c>
      <c r="AG10" s="539"/>
      <c r="AH10" s="539"/>
      <c r="AI10" s="539"/>
      <c r="AJ10" s="539"/>
      <c r="AK10" s="539"/>
      <c r="AL10" s="539"/>
      <c r="AM10" s="539"/>
      <c r="AN10" s="53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328</v>
      </c>
      <c r="AX10" s="539"/>
      <c r="AY10" s="539"/>
      <c r="AZ10" s="539"/>
      <c r="BA10" s="539"/>
      <c r="BB10" s="539"/>
      <c r="BC10" s="539"/>
      <c r="BD10" s="539"/>
      <c r="BE10" s="539"/>
      <c r="BF10" s="53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542"/>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45815.29166666665</v>
      </c>
      <c r="AG11" s="539"/>
      <c r="AH11" s="539"/>
      <c r="AI11" s="539"/>
      <c r="AJ11" s="539"/>
      <c r="AK11" s="539"/>
      <c r="AL11" s="539"/>
      <c r="AM11" s="539"/>
      <c r="AN11" s="53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332</v>
      </c>
      <c r="AX11" s="539"/>
      <c r="AY11" s="539"/>
      <c r="AZ11" s="539"/>
      <c r="BA11" s="539"/>
      <c r="BB11" s="539"/>
      <c r="BC11" s="539"/>
      <c r="BD11" s="539"/>
      <c r="BE11" s="539"/>
      <c r="BF11" s="53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542"/>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45815.333333333314</v>
      </c>
      <c r="AG12" s="539"/>
      <c r="AH12" s="539"/>
      <c r="AI12" s="539"/>
      <c r="AJ12" s="539"/>
      <c r="AK12" s="539"/>
      <c r="AL12" s="539"/>
      <c r="AM12" s="539"/>
      <c r="AN12" s="53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336</v>
      </c>
      <c r="AX12" s="539"/>
      <c r="AY12" s="539"/>
      <c r="AZ12" s="539"/>
      <c r="BA12" s="539"/>
      <c r="BB12" s="539"/>
      <c r="BC12" s="539"/>
      <c r="BD12" s="539"/>
      <c r="BE12" s="539"/>
      <c r="BF12" s="53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542"/>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45815.374999999978</v>
      </c>
      <c r="AG13" s="539"/>
      <c r="AH13" s="539"/>
      <c r="AI13" s="539"/>
      <c r="AJ13" s="539"/>
      <c r="AK13" s="539"/>
      <c r="AL13" s="539"/>
      <c r="AM13" s="539"/>
      <c r="AN13" s="53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340</v>
      </c>
      <c r="AX13" s="539"/>
      <c r="AY13" s="539"/>
      <c r="AZ13" s="539"/>
      <c r="BA13" s="539"/>
      <c r="BB13" s="539"/>
      <c r="BC13" s="539"/>
      <c r="BD13" s="539"/>
      <c r="BE13" s="539"/>
      <c r="BF13" s="53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542"/>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45815.416666666642</v>
      </c>
      <c r="AG14" s="539"/>
      <c r="AH14" s="539"/>
      <c r="AI14" s="539"/>
      <c r="AJ14" s="539"/>
      <c r="AK14" s="539"/>
      <c r="AL14" s="539"/>
      <c r="AM14" s="539"/>
      <c r="AN14" s="53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344</v>
      </c>
      <c r="AX14" s="539"/>
      <c r="AY14" s="539"/>
      <c r="AZ14" s="539"/>
      <c r="BA14" s="539"/>
      <c r="BB14" s="539"/>
      <c r="BC14" s="539"/>
      <c r="BD14" s="539"/>
      <c r="BE14" s="539"/>
      <c r="BF14" s="53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542"/>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45815.458333333307</v>
      </c>
      <c r="AG15" s="539"/>
      <c r="AH15" s="539"/>
      <c r="AI15" s="539"/>
      <c r="AJ15" s="539"/>
      <c r="AK15" s="539"/>
      <c r="AL15" s="539"/>
      <c r="AM15" s="539"/>
      <c r="AN15" s="53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348</v>
      </c>
      <c r="AX15" s="539"/>
      <c r="AY15" s="539"/>
      <c r="AZ15" s="539"/>
      <c r="BA15" s="539"/>
      <c r="BB15" s="539"/>
      <c r="BC15" s="539"/>
      <c r="BD15" s="539"/>
      <c r="BE15" s="539"/>
      <c r="BF15" s="53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542"/>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45815.541666666635</v>
      </c>
      <c r="AG17" s="539"/>
      <c r="AH17" s="539"/>
      <c r="AI17" s="539"/>
      <c r="AJ17" s="539"/>
      <c r="AK17" s="539"/>
      <c r="AL17" s="539"/>
      <c r="AM17" s="539"/>
      <c r="AN17" s="53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356</v>
      </c>
      <c r="AX17" s="539"/>
      <c r="AY17" s="539"/>
      <c r="AZ17" s="539"/>
      <c r="BA17" s="539"/>
      <c r="BB17" s="539"/>
      <c r="BC17" s="539"/>
      <c r="BD17" s="539"/>
      <c r="BE17" s="539"/>
      <c r="BF17" s="53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542"/>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45815.583333333299</v>
      </c>
      <c r="AG18" s="539"/>
      <c r="AH18" s="539"/>
      <c r="AI18" s="539"/>
      <c r="AJ18" s="539"/>
      <c r="AK18" s="539"/>
      <c r="AL18" s="539"/>
      <c r="AM18" s="539"/>
      <c r="AN18" s="53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360</v>
      </c>
      <c r="AX18" s="539"/>
      <c r="AY18" s="539"/>
      <c r="AZ18" s="539"/>
      <c r="BA18" s="539"/>
      <c r="BB18" s="539"/>
      <c r="BC18" s="539"/>
      <c r="BD18" s="539"/>
      <c r="BE18" s="539"/>
      <c r="BF18" s="53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542"/>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45815.624999999964</v>
      </c>
      <c r="AG19" s="539"/>
      <c r="AH19" s="539"/>
      <c r="AI19" s="539"/>
      <c r="AJ19" s="539"/>
      <c r="AK19" s="539"/>
      <c r="AL19" s="539"/>
      <c r="AM19" s="539"/>
      <c r="AN19" s="53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364</v>
      </c>
      <c r="AX19" s="539"/>
      <c r="AY19" s="539"/>
      <c r="AZ19" s="539"/>
      <c r="BA19" s="539"/>
      <c r="BB19" s="539"/>
      <c r="BC19" s="539"/>
      <c r="BD19" s="539"/>
      <c r="BE19" s="539"/>
      <c r="BF19" s="53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542"/>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45815.666666666628</v>
      </c>
      <c r="AG20" s="539"/>
      <c r="AH20" s="539"/>
      <c r="AI20" s="539"/>
      <c r="AJ20" s="539"/>
      <c r="AK20" s="539"/>
      <c r="AL20" s="539"/>
      <c r="AM20" s="539"/>
      <c r="AN20" s="53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368</v>
      </c>
      <c r="AX20" s="539"/>
      <c r="AY20" s="539"/>
      <c r="AZ20" s="539"/>
      <c r="BA20" s="539"/>
      <c r="BB20" s="539"/>
      <c r="BC20" s="539"/>
      <c r="BD20" s="539"/>
      <c r="BE20" s="539"/>
      <c r="BF20" s="53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542"/>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45815.708333333292</v>
      </c>
      <c r="AG21" s="539"/>
      <c r="AH21" s="539"/>
      <c r="AI21" s="539"/>
      <c r="AJ21" s="539"/>
      <c r="AK21" s="539"/>
      <c r="AL21" s="539"/>
      <c r="AM21" s="539"/>
      <c r="AN21" s="53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372</v>
      </c>
      <c r="AX21" s="539"/>
      <c r="AY21" s="539"/>
      <c r="AZ21" s="539"/>
      <c r="BA21" s="539"/>
      <c r="BB21" s="539"/>
      <c r="BC21" s="539"/>
      <c r="BD21" s="539"/>
      <c r="BE21" s="539"/>
      <c r="BF21" s="53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542"/>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45815.749999999956</v>
      </c>
      <c r="AG22" s="539"/>
      <c r="AH22" s="539"/>
      <c r="AI22" s="539"/>
      <c r="AJ22" s="539"/>
      <c r="AK22" s="539"/>
      <c r="AL22" s="539"/>
      <c r="AM22" s="539"/>
      <c r="AN22" s="53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376</v>
      </c>
      <c r="AX22" s="539"/>
      <c r="AY22" s="539"/>
      <c r="AZ22" s="539"/>
      <c r="BA22" s="539"/>
      <c r="BB22" s="539"/>
      <c r="BC22" s="539"/>
      <c r="BD22" s="539"/>
      <c r="BE22" s="539"/>
      <c r="BF22" s="53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542"/>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45815.791666666621</v>
      </c>
      <c r="AG23" s="539"/>
      <c r="AH23" s="539"/>
      <c r="AI23" s="539"/>
      <c r="AJ23" s="539"/>
      <c r="AK23" s="539"/>
      <c r="AL23" s="539"/>
      <c r="AM23" s="539"/>
      <c r="AN23" s="53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380</v>
      </c>
      <c r="AX23" s="539"/>
      <c r="AY23" s="539"/>
      <c r="AZ23" s="539"/>
      <c r="BA23" s="539"/>
      <c r="BB23" s="539"/>
      <c r="BC23" s="539"/>
      <c r="BD23" s="539"/>
      <c r="BE23" s="539"/>
      <c r="BF23" s="53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542"/>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45815.833333333285</v>
      </c>
      <c r="AG24" s="539"/>
      <c r="AH24" s="539"/>
      <c r="AI24" s="539"/>
      <c r="AJ24" s="539"/>
      <c r="AK24" s="539"/>
      <c r="AL24" s="539"/>
      <c r="AM24" s="539"/>
      <c r="AN24" s="53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384</v>
      </c>
      <c r="AX24" s="539"/>
      <c r="AY24" s="539"/>
      <c r="AZ24" s="539"/>
      <c r="BA24" s="539"/>
      <c r="BB24" s="539"/>
      <c r="BC24" s="539"/>
      <c r="BD24" s="539"/>
      <c r="BE24" s="539"/>
      <c r="BF24" s="53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542"/>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45815.874999999949</v>
      </c>
      <c r="AG25" s="539"/>
      <c r="AH25" s="539"/>
      <c r="AI25" s="539"/>
      <c r="AJ25" s="539"/>
      <c r="AK25" s="539"/>
      <c r="AL25" s="539"/>
      <c r="AM25" s="539"/>
      <c r="AN25" s="53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388</v>
      </c>
      <c r="AX25" s="539"/>
      <c r="AY25" s="539"/>
      <c r="AZ25" s="539"/>
      <c r="BA25" s="539"/>
      <c r="BB25" s="539"/>
      <c r="BC25" s="539"/>
      <c r="BD25" s="539"/>
      <c r="BE25" s="539"/>
      <c r="BF25" s="53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542"/>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45815.916666666613</v>
      </c>
      <c r="AG26" s="539"/>
      <c r="AH26" s="539"/>
      <c r="AI26" s="539"/>
      <c r="AJ26" s="539"/>
      <c r="AK26" s="539"/>
      <c r="AL26" s="539"/>
      <c r="AM26" s="539"/>
      <c r="AN26" s="53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392</v>
      </c>
      <c r="AX26" s="539"/>
      <c r="AY26" s="539"/>
      <c r="AZ26" s="539"/>
      <c r="BA26" s="539"/>
      <c r="BB26" s="539"/>
      <c r="BC26" s="539"/>
      <c r="BD26" s="539"/>
      <c r="BE26" s="539"/>
      <c r="BF26" s="53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542"/>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45815.958333333278</v>
      </c>
      <c r="AG27" s="539"/>
      <c r="AH27" s="539"/>
      <c r="AI27" s="539"/>
      <c r="AJ27" s="539"/>
      <c r="AK27" s="539"/>
      <c r="AL27" s="539"/>
      <c r="AM27" s="539"/>
      <c r="AN27" s="53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396</v>
      </c>
      <c r="AX27" s="539"/>
      <c r="AY27" s="539"/>
      <c r="AZ27" s="539"/>
      <c r="BA27" s="539"/>
      <c r="BB27" s="539"/>
      <c r="BC27" s="539"/>
      <c r="BD27" s="539"/>
      <c r="BE27" s="539"/>
      <c r="BF27" s="53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441</v>
      </c>
      <c r="C40" s="165">
        <f ca="1">TblPop[[#This Row],[Military%]]</f>
        <v>0.57347204161248377</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1250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441</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441</v>
      </c>
      <c r="X40" s="448">
        <f ca="1">TblConstr[[#This Row],[Land]]</f>
        <v>50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62"/>
      <c r="AC40" s="436">
        <f ca="1">(TblConstr[[#This Row],[Tot Smi]]+TblConstr[[#This Row],[Dest Smi]])/(TblConstr[[#This Row],[Land]]-TblExplore[[#This Row],[Land Bonus]]*20)</f>
        <v>0</v>
      </c>
      <c r="AD40" s="144"/>
      <c r="AE40" s="258">
        <f>TblMili[[#This Row],[Hour]]</f>
        <v>37</v>
      </c>
      <c r="AF40" s="145">
        <f ca="1">TblExplore[[#This Row],[Time]]</f>
        <v>45816.499999999913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158460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45816.499999999913</v>
      </c>
      <c r="AW40" s="35">
        <f ca="1">TblMili[[#This Row],[Draftees]]</f>
        <v>441</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0.6</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2.9999999999999996</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2.9999999999999996</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Demonic Pact]]&gt;0,MIN(TblMili[[#This Row],[Unit 1]],TblMili[[#This Row],[Unit 4]])*demonic_pact_oppair,0)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0.80000000000000071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477</v>
      </c>
      <c r="C52" s="157">
        <f ca="1">TblPop[[#This Row],[Military%]]</f>
        <v>0.62028608582574774</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1250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477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477</v>
      </c>
      <c r="X52" s="247">
        <f ca="1">TblConstr[[#This Row],[Land]]</f>
        <v>50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54"/>
      <c r="AC52" s="180">
        <f ca="1">(TblConstr[[#This Row],[Tot Smi]]+TblConstr[[#This Row],[Dest Smi]])/(TblConstr[[#This Row],[Land]]-TblExplore[[#This Row],[Land Bonus]]*20)</f>
        <v>0</v>
      </c>
      <c r="AD52" s="256"/>
      <c r="AE52" s="257">
        <f>TblMili[[#This Row],[Hour]]</f>
        <v>49</v>
      </c>
      <c r="AF52" s="138">
        <f ca="1">TblExplore[[#This Row],[Time]]</f>
        <v>45816.999999999884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168547</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45816.999999999884</v>
      </c>
      <c r="AW52" s="94">
        <f ca="1">TblMili[[#This Row],[Draftees]]</f>
        <v>477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0.6</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2.9999999999999996</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2.9999999999999996</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Demonic Pact]]&gt;0,MIN(TblMili[[#This Row],[Unit 1]],TblMili[[#This Row],[Unit 4]])*demonic_pact_oppair,0)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0.80000000000000071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0">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540</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540</v>
      </c>
      <c r="X76" s="441">
        <f ca="1">TblConstr[[#This Row],[Land]]</f>
        <v>50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540</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0.6</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2.9999999999999996</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2.9999999999999996</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Demonic Pact]]&gt;0,MIN(TblMili[[#This Row],[Unit 1]],TblMili[[#This Row],[Unit 4]])*demonic_pact_oppair,0)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0.80000000000000071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27" t="s">
        <v>314</v>
      </c>
      <c r="C1269" s="527"/>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25" priority="37" stopIfTrue="1">
      <formula>ROW()-2=#REF!</formula>
    </cfRule>
  </conditionalFormatting>
  <conditionalFormatting sqref="A1269:DF1270">
    <cfRule type="expression" dxfId="24" priority="38" stopIfTrue="1">
      <formula>$B$1270&gt;144</formula>
    </cfRule>
  </conditionalFormatting>
  <conditionalFormatting sqref="A4:DI136">
    <cfRule type="expression" dxfId="23" priority="1" stopIfTrue="1">
      <formula>ROW()-3=$B$1270</formula>
    </cfRule>
    <cfRule type="expression" dxfId="22" priority="2" stopIfTrue="1">
      <formula>OR(ROW()-3=$B$1270,A4&lt;0)</formula>
    </cfRule>
    <cfRule type="expression" dxfId="19" priority="35">
      <formula>$A4=37</formula>
    </cfRule>
  </conditionalFormatting>
  <conditionalFormatting sqref="A3:DI136">
    <cfRule type="expression" dxfId="21" priority="39">
      <formula>ROUND(($A3-1)/12,0)=INT($A3-1)/12</formula>
    </cfRule>
  </conditionalFormatting>
  <conditionalFormatting sqref="A1:AO2 AQ1:AV2 AX1:BU2 BW1:CM1 BY2:CN2 CX2:XFD2 CO1:DD1 DF1:XFD1 A3:XFD3">
    <cfRule type="expression" dxfId="20"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4"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4"/>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540"/>
      <c r="H5" s="540"/>
      <c r="I5" s="540"/>
      <c r="J5" s="540"/>
      <c r="K5" s="543"/>
      <c r="L5" s="540"/>
      <c r="M5" s="540"/>
      <c r="N5" s="540"/>
      <c r="O5" s="540"/>
      <c r="P5" s="540"/>
      <c r="Q5" s="540"/>
      <c r="R5" s="540"/>
      <c r="S5" s="540"/>
      <c r="T5" s="540"/>
      <c r="U5" s="540"/>
      <c r="V5" s="540"/>
      <c r="W5" s="540"/>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540"/>
      <c r="H6" s="540"/>
      <c r="I6" s="540"/>
      <c r="J6" s="540"/>
      <c r="K6" s="543"/>
      <c r="L6" s="540"/>
      <c r="M6" s="540"/>
      <c r="N6" s="540"/>
      <c r="O6" s="540"/>
      <c r="P6" s="540"/>
      <c r="Q6" s="540"/>
      <c r="R6" s="540"/>
      <c r="S6" s="540"/>
      <c r="T6" s="540"/>
      <c r="U6" s="540"/>
      <c r="V6" s="540"/>
      <c r="W6" s="540"/>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540"/>
      <c r="H7" s="540"/>
      <c r="I7" s="540"/>
      <c r="J7" s="540"/>
      <c r="K7" s="543"/>
      <c r="L7" s="540"/>
      <c r="M7" s="540"/>
      <c r="N7" s="540"/>
      <c r="O7" s="540"/>
      <c r="P7" s="540"/>
      <c r="Q7" s="540"/>
      <c r="R7" s="540"/>
      <c r="S7" s="540"/>
      <c r="T7" s="540"/>
      <c r="U7" s="540"/>
      <c r="V7" s="540"/>
      <c r="W7" s="540"/>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540"/>
      <c r="H8" s="540"/>
      <c r="I8" s="540"/>
      <c r="J8" s="540"/>
      <c r="K8" s="543"/>
      <c r="L8" s="540"/>
      <c r="M8" s="540"/>
      <c r="N8" s="540"/>
      <c r="O8" s="540"/>
      <c r="P8" s="540"/>
      <c r="Q8" s="540"/>
      <c r="R8" s="540"/>
      <c r="S8" s="540"/>
      <c r="T8" s="540"/>
      <c r="U8" s="540"/>
      <c r="V8" s="540"/>
      <c r="W8" s="540"/>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540"/>
      <c r="H9" s="540"/>
      <c r="I9" s="540"/>
      <c r="J9" s="540"/>
      <c r="K9" s="543"/>
      <c r="L9" s="540"/>
      <c r="M9" s="540"/>
      <c r="N9" s="540"/>
      <c r="O9" s="540"/>
      <c r="P9" s="540"/>
      <c r="Q9" s="540"/>
      <c r="R9" s="540"/>
      <c r="S9" s="540"/>
      <c r="T9" s="540"/>
      <c r="U9" s="540"/>
      <c r="V9" s="540"/>
      <c r="W9" s="540"/>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540"/>
      <c r="H10" s="540"/>
      <c r="I10" s="540"/>
      <c r="J10" s="540"/>
      <c r="K10" s="543"/>
      <c r="L10" s="540"/>
      <c r="M10" s="540"/>
      <c r="N10" s="540"/>
      <c r="O10" s="540"/>
      <c r="P10" s="540"/>
      <c r="Q10" s="540"/>
      <c r="R10" s="540"/>
      <c r="S10" s="540"/>
      <c r="T10" s="540"/>
      <c r="U10" s="540"/>
      <c r="V10" s="540"/>
      <c r="W10" s="540"/>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540"/>
      <c r="H11" s="540"/>
      <c r="I11" s="540"/>
      <c r="J11" s="540"/>
      <c r="K11" s="543"/>
      <c r="L11" s="540"/>
      <c r="M11" s="540"/>
      <c r="N11" s="540"/>
      <c r="O11" s="540"/>
      <c r="P11" s="540"/>
      <c r="Q11" s="540"/>
      <c r="R11" s="540"/>
      <c r="S11" s="540"/>
      <c r="T11" s="540"/>
      <c r="U11" s="540"/>
      <c r="V11" s="540"/>
      <c r="W11" s="540"/>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540"/>
      <c r="H12" s="540"/>
      <c r="I12" s="540"/>
      <c r="J12" s="540"/>
      <c r="K12" s="543"/>
      <c r="L12" s="540"/>
      <c r="M12" s="540"/>
      <c r="N12" s="540"/>
      <c r="O12" s="540"/>
      <c r="P12" s="540"/>
      <c r="Q12" s="540"/>
      <c r="R12" s="540"/>
      <c r="S12" s="540"/>
      <c r="T12" s="540"/>
      <c r="U12" s="540"/>
      <c r="V12" s="540"/>
      <c r="W12" s="540"/>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540"/>
      <c r="H13" s="540"/>
      <c r="I13" s="540"/>
      <c r="J13" s="540"/>
      <c r="K13" s="543"/>
      <c r="L13" s="540"/>
      <c r="M13" s="540"/>
      <c r="N13" s="540"/>
      <c r="O13" s="540"/>
      <c r="P13" s="540"/>
      <c r="Q13" s="540"/>
      <c r="R13" s="540"/>
      <c r="S13" s="540"/>
      <c r="T13" s="540"/>
      <c r="U13" s="540"/>
      <c r="V13" s="540"/>
      <c r="W13" s="540"/>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540"/>
      <c r="H14" s="540"/>
      <c r="I14" s="540"/>
      <c r="J14" s="540"/>
      <c r="K14" s="543"/>
      <c r="L14" s="540"/>
      <c r="M14" s="540"/>
      <c r="N14" s="540"/>
      <c r="O14" s="540"/>
      <c r="P14" s="540"/>
      <c r="Q14" s="540"/>
      <c r="R14" s="540"/>
      <c r="S14" s="540"/>
      <c r="T14" s="540"/>
      <c r="U14" s="540"/>
      <c r="V14" s="540"/>
      <c r="W14" s="540"/>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540"/>
      <c r="H15" s="540"/>
      <c r="I15" s="540"/>
      <c r="J15" s="540"/>
      <c r="K15" s="543"/>
      <c r="L15" s="540"/>
      <c r="M15" s="540"/>
      <c r="N15" s="540"/>
      <c r="O15" s="540"/>
      <c r="P15" s="540"/>
      <c r="Q15" s="540"/>
      <c r="R15" s="540"/>
      <c r="S15" s="540"/>
      <c r="T15" s="540"/>
      <c r="U15" s="540"/>
      <c r="V15" s="540"/>
      <c r="W15" s="540"/>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540"/>
      <c r="H17" s="540"/>
      <c r="I17" s="540"/>
      <c r="J17" s="540"/>
      <c r="K17" s="543"/>
      <c r="L17" s="540"/>
      <c r="M17" s="540"/>
      <c r="N17" s="540"/>
      <c r="O17" s="540"/>
      <c r="P17" s="540"/>
      <c r="Q17" s="540"/>
      <c r="R17" s="540"/>
      <c r="S17" s="540"/>
      <c r="T17" s="540"/>
      <c r="U17" s="540"/>
      <c r="V17" s="540"/>
      <c r="W17" s="540"/>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540"/>
      <c r="H18" s="540"/>
      <c r="I18" s="540"/>
      <c r="J18" s="540"/>
      <c r="K18" s="543"/>
      <c r="L18" s="540"/>
      <c r="M18" s="540"/>
      <c r="N18" s="540"/>
      <c r="O18" s="540"/>
      <c r="P18" s="540"/>
      <c r="Q18" s="540"/>
      <c r="R18" s="540"/>
      <c r="S18" s="540"/>
      <c r="T18" s="540"/>
      <c r="U18" s="540"/>
      <c r="V18" s="540"/>
      <c r="W18" s="540"/>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540"/>
      <c r="H19" s="540"/>
      <c r="I19" s="540"/>
      <c r="J19" s="540"/>
      <c r="K19" s="543"/>
      <c r="L19" s="540"/>
      <c r="M19" s="540"/>
      <c r="N19" s="540"/>
      <c r="O19" s="540"/>
      <c r="P19" s="540"/>
      <c r="Q19" s="540"/>
      <c r="R19" s="540"/>
      <c r="S19" s="540"/>
      <c r="T19" s="540"/>
      <c r="U19" s="540"/>
      <c r="V19" s="540"/>
      <c r="W19" s="540"/>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540"/>
      <c r="H20" s="540"/>
      <c r="I20" s="540"/>
      <c r="J20" s="540"/>
      <c r="K20" s="543"/>
      <c r="L20" s="540"/>
      <c r="M20" s="540"/>
      <c r="N20" s="540"/>
      <c r="O20" s="540"/>
      <c r="P20" s="540"/>
      <c r="Q20" s="540"/>
      <c r="R20" s="540"/>
      <c r="S20" s="540"/>
      <c r="T20" s="540"/>
      <c r="U20" s="540"/>
      <c r="V20" s="540"/>
      <c r="W20" s="540"/>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540"/>
      <c r="H21" s="540"/>
      <c r="I21" s="540"/>
      <c r="J21" s="540"/>
      <c r="K21" s="543"/>
      <c r="L21" s="540"/>
      <c r="M21" s="540"/>
      <c r="N21" s="540"/>
      <c r="O21" s="540"/>
      <c r="P21" s="540"/>
      <c r="Q21" s="540"/>
      <c r="R21" s="540"/>
      <c r="S21" s="540"/>
      <c r="T21" s="540"/>
      <c r="U21" s="540"/>
      <c r="V21" s="540"/>
      <c r="W21" s="540"/>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540"/>
      <c r="H22" s="540"/>
      <c r="I22" s="540"/>
      <c r="J22" s="540"/>
      <c r="K22" s="543"/>
      <c r="L22" s="540"/>
      <c r="M22" s="540"/>
      <c r="N22" s="540"/>
      <c r="O22" s="540"/>
      <c r="P22" s="540"/>
      <c r="Q22" s="540"/>
      <c r="R22" s="540"/>
      <c r="S22" s="540"/>
      <c r="T22" s="540"/>
      <c r="U22" s="540"/>
      <c r="V22" s="540"/>
      <c r="W22" s="540"/>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540"/>
      <c r="H23" s="540"/>
      <c r="I23" s="540"/>
      <c r="J23" s="540"/>
      <c r="K23" s="543"/>
      <c r="L23" s="540"/>
      <c r="M23" s="540"/>
      <c r="N23" s="540"/>
      <c r="O23" s="540"/>
      <c r="P23" s="540"/>
      <c r="Q23" s="540"/>
      <c r="R23" s="540"/>
      <c r="S23" s="540"/>
      <c r="T23" s="540"/>
      <c r="U23" s="540"/>
      <c r="V23" s="540"/>
      <c r="W23" s="540"/>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540"/>
      <c r="H24" s="540"/>
      <c r="I24" s="540"/>
      <c r="J24" s="540"/>
      <c r="K24" s="543"/>
      <c r="L24" s="540"/>
      <c r="M24" s="540"/>
      <c r="N24" s="540"/>
      <c r="O24" s="540"/>
      <c r="P24" s="540"/>
      <c r="Q24" s="540"/>
      <c r="R24" s="540"/>
      <c r="S24" s="540"/>
      <c r="T24" s="540"/>
      <c r="U24" s="540"/>
      <c r="V24" s="540"/>
      <c r="W24" s="540"/>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540"/>
      <c r="H25" s="540"/>
      <c r="I25" s="540"/>
      <c r="J25" s="540"/>
      <c r="K25" s="543"/>
      <c r="L25" s="540"/>
      <c r="M25" s="540"/>
      <c r="N25" s="540"/>
      <c r="O25" s="540"/>
      <c r="P25" s="540"/>
      <c r="Q25" s="540"/>
      <c r="R25" s="540"/>
      <c r="S25" s="540"/>
      <c r="T25" s="540"/>
      <c r="U25" s="540"/>
      <c r="V25" s="540"/>
      <c r="W25" s="540"/>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540"/>
      <c r="H26" s="540"/>
      <c r="I26" s="540"/>
      <c r="J26" s="540"/>
      <c r="K26" s="543"/>
      <c r="L26" s="540"/>
      <c r="M26" s="540"/>
      <c r="N26" s="540"/>
      <c r="O26" s="540"/>
      <c r="P26" s="540"/>
      <c r="Q26" s="540"/>
      <c r="R26" s="540"/>
      <c r="S26" s="540"/>
      <c r="T26" s="540"/>
      <c r="U26" s="540"/>
      <c r="V26" s="540"/>
      <c r="W26" s="540"/>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540"/>
      <c r="H27" s="540"/>
      <c r="I27" s="540"/>
      <c r="J27" s="540"/>
      <c r="K27" s="543"/>
      <c r="L27" s="540"/>
      <c r="M27" s="540"/>
      <c r="N27" s="540"/>
      <c r="O27" s="540"/>
      <c r="P27" s="540"/>
      <c r="Q27" s="540"/>
      <c r="R27" s="540"/>
      <c r="S27" s="540"/>
      <c r="T27" s="540"/>
      <c r="U27" s="540"/>
      <c r="V27" s="540"/>
      <c r="W27" s="540"/>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s="5" customFormat="1" x14ac:dyDescent="0.2">
      <c r="A40" s="144">
        <f>TblRezone[[#This Row],[Hour]]</f>
        <v>37</v>
      </c>
      <c r="B40" s="162">
        <f ca="1">TblConstr[[#This Row],[Land]]</f>
        <v>50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45816.499999999913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Row],[Demonic Pact]],12,IF(OFFSET(TblMagic[[#This Row],[Active Demonic Pact]],-1,0)&gt;0,OFFSET(TblMagic[[#This Row],[Active Demonic Pact]],-1,0)-1,0))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7">
        <f>TblRezone[[#This Row],[Hour]]</f>
        <v>49</v>
      </c>
      <c r="B52" s="154">
        <f ca="1">TblConstr[[#This Row],[Land]]</f>
        <v>50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45816.999999999884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50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45817.999999999825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27" t="s">
        <v>314</v>
      </c>
      <c r="D1269" s="483"/>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18" priority="18" stopIfTrue="1">
      <formula>ROW()-2=#REF!</formula>
    </cfRule>
  </conditionalFormatting>
  <conditionalFormatting sqref="A1269:XFD1270">
    <cfRule type="expression" dxfId="17" priority="19" stopIfTrue="1">
      <formula>$C$1270&gt;144</formula>
    </cfRule>
  </conditionalFormatting>
  <conditionalFormatting sqref="A4:AQ136">
    <cfRule type="expression" dxfId="16" priority="1" stopIfTrue="1">
      <formula>ROW()-3=$C$1270</formula>
    </cfRule>
    <cfRule type="expression" dxfId="15" priority="2" stopIfTrue="1">
      <formula>OR(ROW()-3=$C$1270,A4&lt;0)</formula>
    </cfRule>
    <cfRule type="expression" dxfId="11" priority="3">
      <formula>$A4=37</formula>
    </cfRule>
    <cfRule type="expression" dxfId="14" priority="7">
      <formula>ROUND(($A4-1)/12,0)=INT($A4-1)/12</formula>
    </cfRule>
  </conditionalFormatting>
  <conditionalFormatting sqref="A2:N2 A1:S1 U1:XFD1 P2:XFD2 A3:XFD3">
    <cfRule type="expression" dxfId="13" priority="15">
      <formula>$C$1270&lt;0</formula>
    </cfRule>
  </conditionalFormatting>
  <conditionalFormatting sqref="G4:W136">
    <cfRule type="expression" dxfId="1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28" t="s">
        <v>209</v>
      </c>
      <c r="AG1" s="528"/>
      <c r="AH1" s="28"/>
      <c r="AI1" s="28"/>
      <c r="AJ1" s="28"/>
      <c r="AK1" s="28"/>
      <c r="AM1" s="528" t="s">
        <v>217</v>
      </c>
      <c r="AN1" s="528"/>
      <c r="AO1" s="28"/>
      <c r="AP1" s="28"/>
      <c r="AR1" s="528" t="s">
        <v>218</v>
      </c>
      <c r="AS1" s="528"/>
      <c r="AT1" s="529"/>
      <c r="AU1" s="28"/>
      <c r="AW1" s="528" t="s">
        <v>219</v>
      </c>
      <c r="AX1" s="528"/>
      <c r="AY1" s="528"/>
      <c r="AZ1" s="28"/>
      <c r="BB1" s="528" t="s">
        <v>220</v>
      </c>
      <c r="BC1" s="528"/>
      <c r="BD1" s="528"/>
      <c r="BE1" s="528"/>
      <c r="BG1" s="528" t="s">
        <v>221</v>
      </c>
      <c r="BH1" s="528"/>
      <c r="BI1" s="528"/>
      <c r="BJ1" s="28"/>
      <c r="BL1" s="528" t="s">
        <v>222</v>
      </c>
      <c r="BM1" s="529"/>
      <c r="BN1" s="529"/>
      <c r="BO1" s="28"/>
      <c r="BQ1" s="528" t="s">
        <v>223</v>
      </c>
      <c r="BR1" s="528"/>
      <c r="BS1" s="528"/>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50</v>
      </c>
      <c r="O5" s="544" t="s">
        <v>4</v>
      </c>
      <c r="P5" s="545"/>
      <c r="Q5" s="544" t="s">
        <v>210</v>
      </c>
      <c r="R5" s="544" t="s">
        <v>7</v>
      </c>
      <c r="S5" s="545"/>
      <c r="T5" s="544" t="s">
        <v>210</v>
      </c>
      <c r="U5" s="544" t="s">
        <v>3</v>
      </c>
      <c r="V5" s="545"/>
      <c r="W5" s="54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50</v>
      </c>
      <c r="O6" s="544" t="s">
        <v>4</v>
      </c>
      <c r="P6" s="545"/>
      <c r="Q6" s="544" t="s">
        <v>210</v>
      </c>
      <c r="R6" s="544" t="s">
        <v>7</v>
      </c>
      <c r="S6" s="545"/>
      <c r="T6" s="544" t="s">
        <v>210</v>
      </c>
      <c r="U6" s="544" t="s">
        <v>3</v>
      </c>
      <c r="V6" s="545"/>
      <c r="W6" s="54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50</v>
      </c>
      <c r="O7" s="544" t="s">
        <v>4</v>
      </c>
      <c r="P7" s="545"/>
      <c r="Q7" s="544" t="s">
        <v>210</v>
      </c>
      <c r="R7" s="544" t="s">
        <v>7</v>
      </c>
      <c r="S7" s="545"/>
      <c r="T7" s="544" t="s">
        <v>210</v>
      </c>
      <c r="U7" s="544" t="s">
        <v>3</v>
      </c>
      <c r="V7" s="545"/>
      <c r="W7" s="54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50</v>
      </c>
      <c r="O8" s="544" t="s">
        <v>4</v>
      </c>
      <c r="P8" s="545"/>
      <c r="Q8" s="544" t="s">
        <v>210</v>
      </c>
      <c r="R8" s="544" t="s">
        <v>7</v>
      </c>
      <c r="S8" s="545"/>
      <c r="T8" s="544" t="s">
        <v>210</v>
      </c>
      <c r="U8" s="544" t="s">
        <v>3</v>
      </c>
      <c r="V8" s="545"/>
      <c r="W8" s="54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50</v>
      </c>
      <c r="O9" s="544" t="s">
        <v>4</v>
      </c>
      <c r="P9" s="545"/>
      <c r="Q9" s="544" t="s">
        <v>210</v>
      </c>
      <c r="R9" s="544" t="s">
        <v>7</v>
      </c>
      <c r="S9" s="545"/>
      <c r="T9" s="544" t="s">
        <v>210</v>
      </c>
      <c r="U9" s="544" t="s">
        <v>3</v>
      </c>
      <c r="V9" s="545"/>
      <c r="W9" s="54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50</v>
      </c>
      <c r="O10" s="544" t="s">
        <v>4</v>
      </c>
      <c r="P10" s="545"/>
      <c r="Q10" s="544" t="s">
        <v>210</v>
      </c>
      <c r="R10" s="544" t="s">
        <v>7</v>
      </c>
      <c r="S10" s="545"/>
      <c r="T10" s="544" t="s">
        <v>210</v>
      </c>
      <c r="U10" s="544" t="s">
        <v>3</v>
      </c>
      <c r="V10" s="545"/>
      <c r="W10" s="54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50</v>
      </c>
      <c r="O11" s="544" t="s">
        <v>4</v>
      </c>
      <c r="P11" s="545"/>
      <c r="Q11" s="544" t="s">
        <v>210</v>
      </c>
      <c r="R11" s="544" t="s">
        <v>7</v>
      </c>
      <c r="S11" s="545"/>
      <c r="T11" s="544" t="s">
        <v>210</v>
      </c>
      <c r="U11" s="544" t="s">
        <v>3</v>
      </c>
      <c r="V11" s="545"/>
      <c r="W11" s="54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50</v>
      </c>
      <c r="O12" s="544" t="s">
        <v>4</v>
      </c>
      <c r="P12" s="545"/>
      <c r="Q12" s="544" t="s">
        <v>210</v>
      </c>
      <c r="R12" s="544" t="s">
        <v>7</v>
      </c>
      <c r="S12" s="545"/>
      <c r="T12" s="544" t="s">
        <v>210</v>
      </c>
      <c r="U12" s="544" t="s">
        <v>3</v>
      </c>
      <c r="V12" s="545"/>
      <c r="W12" s="54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50</v>
      </c>
      <c r="O13" s="544" t="s">
        <v>4</v>
      </c>
      <c r="P13" s="545"/>
      <c r="Q13" s="544" t="s">
        <v>210</v>
      </c>
      <c r="R13" s="544" t="s">
        <v>7</v>
      </c>
      <c r="S13" s="545"/>
      <c r="T13" s="544" t="s">
        <v>210</v>
      </c>
      <c r="U13" s="544" t="s">
        <v>3</v>
      </c>
      <c r="V13" s="545"/>
      <c r="W13" s="54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544" t="s">
        <v>4</v>
      </c>
      <c r="P14" s="545"/>
      <c r="Q14" s="544" t="s">
        <v>210</v>
      </c>
      <c r="R14" s="544" t="s">
        <v>7</v>
      </c>
      <c r="S14" s="545"/>
      <c r="T14" s="544" t="s">
        <v>210</v>
      </c>
      <c r="U14" s="544" t="s">
        <v>3</v>
      </c>
      <c r="V14" s="545"/>
      <c r="W14" s="54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544" t="s">
        <v>4</v>
      </c>
      <c r="P15" s="545"/>
      <c r="Q15" s="544" t="s">
        <v>210</v>
      </c>
      <c r="R15" s="544" t="s">
        <v>7</v>
      </c>
      <c r="S15" s="545"/>
      <c r="T15" s="544" t="s">
        <v>210</v>
      </c>
      <c r="U15" s="544" t="s">
        <v>3</v>
      </c>
      <c r="V15" s="545"/>
      <c r="W15" s="54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544" t="s">
        <v>4</v>
      </c>
      <c r="P17" s="545"/>
      <c r="Q17" s="544" t="s">
        <v>210</v>
      </c>
      <c r="R17" s="544" t="s">
        <v>7</v>
      </c>
      <c r="S17" s="545"/>
      <c r="T17" s="544" t="s">
        <v>210</v>
      </c>
      <c r="U17" s="544" t="s">
        <v>3</v>
      </c>
      <c r="V17" s="545"/>
      <c r="W17" s="54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544" t="s">
        <v>4</v>
      </c>
      <c r="P18" s="545"/>
      <c r="Q18" s="544" t="s">
        <v>210</v>
      </c>
      <c r="R18" s="544" t="s">
        <v>7</v>
      </c>
      <c r="S18" s="545"/>
      <c r="T18" s="544" t="s">
        <v>210</v>
      </c>
      <c r="U18" s="544" t="s">
        <v>3</v>
      </c>
      <c r="V18" s="545"/>
      <c r="W18" s="54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544" t="s">
        <v>4</v>
      </c>
      <c r="P19" s="545"/>
      <c r="Q19" s="544" t="s">
        <v>210</v>
      </c>
      <c r="R19" s="544" t="s">
        <v>7</v>
      </c>
      <c r="S19" s="545"/>
      <c r="T19" s="544" t="s">
        <v>210</v>
      </c>
      <c r="U19" s="544" t="s">
        <v>3</v>
      </c>
      <c r="V19" s="545"/>
      <c r="W19" s="54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544" t="s">
        <v>4</v>
      </c>
      <c r="P20" s="545"/>
      <c r="Q20" s="544" t="s">
        <v>210</v>
      </c>
      <c r="R20" s="544" t="s">
        <v>7</v>
      </c>
      <c r="S20" s="545"/>
      <c r="T20" s="544" t="s">
        <v>210</v>
      </c>
      <c r="U20" s="544" t="s">
        <v>3</v>
      </c>
      <c r="V20" s="545"/>
      <c r="W20" s="54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544" t="s">
        <v>4</v>
      </c>
      <c r="P21" s="545"/>
      <c r="Q21" s="544" t="s">
        <v>210</v>
      </c>
      <c r="R21" s="544" t="s">
        <v>7</v>
      </c>
      <c r="S21" s="545"/>
      <c r="T21" s="544" t="s">
        <v>210</v>
      </c>
      <c r="U21" s="544" t="s">
        <v>3</v>
      </c>
      <c r="V21" s="545"/>
      <c r="W21" s="54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544" t="s">
        <v>4</v>
      </c>
      <c r="P22" s="545"/>
      <c r="Q22" s="544" t="s">
        <v>210</v>
      </c>
      <c r="R22" s="544" t="s">
        <v>7</v>
      </c>
      <c r="S22" s="545"/>
      <c r="T22" s="544" t="s">
        <v>210</v>
      </c>
      <c r="U22" s="544" t="s">
        <v>3</v>
      </c>
      <c r="V22" s="545"/>
      <c r="W22" s="54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544" t="s">
        <v>4</v>
      </c>
      <c r="P23" s="545"/>
      <c r="Q23" s="544" t="s">
        <v>210</v>
      </c>
      <c r="R23" s="544" t="s">
        <v>7</v>
      </c>
      <c r="S23" s="545"/>
      <c r="T23" s="544" t="s">
        <v>210</v>
      </c>
      <c r="U23" s="544" t="s">
        <v>3</v>
      </c>
      <c r="V23" s="545"/>
      <c r="W23" s="54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544" t="s">
        <v>4</v>
      </c>
      <c r="P24" s="545"/>
      <c r="Q24" s="544" t="s">
        <v>210</v>
      </c>
      <c r="R24" s="544" t="s">
        <v>7</v>
      </c>
      <c r="S24" s="545"/>
      <c r="T24" s="544" t="s">
        <v>210</v>
      </c>
      <c r="U24" s="544" t="s">
        <v>3</v>
      </c>
      <c r="V24" s="545"/>
      <c r="W24" s="54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544" t="s">
        <v>4</v>
      </c>
      <c r="P25" s="545"/>
      <c r="Q25" s="544" t="s">
        <v>210</v>
      </c>
      <c r="R25" s="544" t="s">
        <v>7</v>
      </c>
      <c r="S25" s="545"/>
      <c r="T25" s="544" t="s">
        <v>210</v>
      </c>
      <c r="U25" s="544" t="s">
        <v>3</v>
      </c>
      <c r="V25" s="545"/>
      <c r="W25" s="54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544" t="s">
        <v>4</v>
      </c>
      <c r="P26" s="545"/>
      <c r="Q26" s="544" t="s">
        <v>210</v>
      </c>
      <c r="R26" s="544" t="s">
        <v>7</v>
      </c>
      <c r="S26" s="545"/>
      <c r="T26" s="544" t="s">
        <v>210</v>
      </c>
      <c r="U26" s="544" t="s">
        <v>3</v>
      </c>
      <c r="V26" s="545"/>
      <c r="W26" s="54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544" t="s">
        <v>4</v>
      </c>
      <c r="P27" s="545"/>
      <c r="Q27" s="544" t="s">
        <v>210</v>
      </c>
      <c r="R27" s="544" t="s">
        <v>7</v>
      </c>
      <c r="S27" s="545"/>
      <c r="T27" s="544" t="s">
        <v>210</v>
      </c>
      <c r="U27" s="544" t="s">
        <v>3</v>
      </c>
      <c r="V27" s="545"/>
      <c r="W27" s="54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s="5" customFormat="1" x14ac:dyDescent="0.2">
      <c r="A40" s="230">
        <f ca="1">TblConstr[[#This Row],[Land]]</f>
        <v>50</v>
      </c>
      <c r="B40" s="149"/>
      <c r="C40" s="35">
        <f ca="1">TblProd[[#This Row],[Platinum]]</f>
        <v>158460</v>
      </c>
      <c r="D40" s="35">
        <f ca="1">TblProd[[#This Row],[Lumber]]</f>
        <v>40804</v>
      </c>
      <c r="E40" s="35">
        <f ca="1">TblProd[[#This Row],[Ore]]</f>
        <v>0</v>
      </c>
      <c r="F40" s="35">
        <f ca="1">TblProd[[#This Row],[Gems]]</f>
        <v>0</v>
      </c>
      <c r="G40" s="162"/>
      <c r="H40" s="35">
        <f ca="1">TblMili[[#This Row],[Draftees]]</f>
        <v>441</v>
      </c>
      <c r="I40" s="436">
        <f ca="1">TblPop[[#This Row],[Employment]]</f>
        <v>1</v>
      </c>
      <c r="J40" s="436">
        <f ca="1">TblPop[[#This Row],[Total]]/TblPop[[#This Row],[Net max]]</f>
        <v>1</v>
      </c>
      <c r="K40" s="298">
        <f>TblRezone[[#This Row],[Hour]]</f>
        <v>37</v>
      </c>
      <c r="L40" s="299">
        <f ca="1">TblImps[[#This Row],[Real time]]</f>
        <v>45816.499999999913</v>
      </c>
      <c r="M40" s="148">
        <f>IF(ISERROR(TblImps[[#This Row],[algorithm]]),0,TblImps[[#This Row],[algorithm]]*1)</f>
        <v>0</v>
      </c>
      <c r="N40" s="35">
        <f ca="1">TblImps[[#This Row],[Land]]</f>
        <v>50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45816.499999999913</v>
      </c>
      <c r="BZ40" s="460">
        <f ca="1">OFFSET(TblImps[[#This Row],[Servertime]],-1,0)+1/24</f>
        <v>45816.499999999913</v>
      </c>
      <c r="CA40" s="28"/>
      <c r="CB40" s="461"/>
      <c r="CC40" s="461"/>
      <c r="CD40" s="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x14ac:dyDescent="0.2">
      <c r="A52" s="214">
        <f ca="1">TblConstr[[#This Row],[Land]]</f>
        <v>50</v>
      </c>
      <c r="B52" s="142"/>
      <c r="C52" s="94">
        <f ca="1">TblProd[[#This Row],[Platinum]]</f>
        <v>168547</v>
      </c>
      <c r="D52" s="94">
        <f ca="1">TblProd[[#This Row],[Lumber]]</f>
        <v>47529</v>
      </c>
      <c r="E52" s="94">
        <f ca="1">TblProd[[#This Row],[Ore]]</f>
        <v>0</v>
      </c>
      <c r="F52" s="94">
        <f ca="1">TblProd[[#This Row],[Gems]]</f>
        <v>0</v>
      </c>
      <c r="G52" s="154"/>
      <c r="H52" s="94">
        <f ca="1">TblMili[[#This Row],[Draftees]]</f>
        <v>477</v>
      </c>
      <c r="I52" s="180">
        <f ca="1">TblPop[[#This Row],[Employment]]</f>
        <v>1</v>
      </c>
      <c r="J52" s="180">
        <f ca="1">TblPop[[#This Row],[Total]]/TblPop[[#This Row],[Net max]]</f>
        <v>1</v>
      </c>
      <c r="K52" s="283">
        <f>TblRezone[[#This Row],[Hour]]</f>
        <v>49</v>
      </c>
      <c r="L52" s="284">
        <f ca="1">TblImps[[#This Row],[Real time]]</f>
        <v>45816.999999999884</v>
      </c>
      <c r="M52" s="61">
        <f>IF(ISERROR(TblImps[[#This Row],[algorithm]]),0,TblImps[[#This Row],[algorithm]]*1)</f>
        <v>0</v>
      </c>
      <c r="N52" s="94">
        <f ca="1">TblImps[[#This Row],[Land]]</f>
        <v>50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45816.999999999884</v>
      </c>
      <c r="BZ52" s="294">
        <f ca="1">OFFSET(TblImps[[#This Row],[Servertime]],-1,0)+1/24</f>
        <v>45816.999999999884</v>
      </c>
      <c r="CA52" s="57"/>
      <c r="CB52" s="292"/>
      <c r="CC52" s="292"/>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45817.999999999825</v>
      </c>
      <c r="BZ76" s="457">
        <f ca="1">OFFSET(TblImps[[#This Row],[Servertime]],-1,0)+1/24</f>
        <v>45817.999999999825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27" t="s">
        <v>314</v>
      </c>
      <c r="C1269" s="483"/>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0" priority="8" stopIfTrue="1">
      <formula>ROW()-2=#REF!</formula>
    </cfRule>
  </conditionalFormatting>
  <conditionalFormatting sqref="A1269:CC1269">
    <cfRule type="expression" dxfId="9" priority="9" stopIfTrue="1">
      <formula>$B$1270&gt;84</formula>
    </cfRule>
  </conditionalFormatting>
  <conditionalFormatting sqref="A1269:XFD1270">
    <cfRule type="expression" dxfId="8" priority="10" stopIfTrue="1">
      <formula>$B$1270&gt;144</formula>
    </cfRule>
  </conditionalFormatting>
  <conditionalFormatting sqref="BV76">
    <cfRule type="expression" dxfId="7" priority="20" stopIfTrue="1">
      <formula>ISERROR(BV76)</formula>
    </cfRule>
  </conditionalFormatting>
  <conditionalFormatting sqref="A4:BZ136">
    <cfRule type="expression" dxfId="6" priority="1" stopIfTrue="1">
      <formula>ROW()-3=$B$1270</formula>
    </cfRule>
    <cfRule type="expression" dxfId="5" priority="2" stopIfTrue="1">
      <formula>OR(ROW()-3=$B$1270,A4&lt;0)</formula>
    </cfRule>
    <cfRule type="expression" dxfId="0" priority="7">
      <formula>$K4=37</formula>
    </cfRule>
    <cfRule type="expression" dxfId="4" priority="12">
      <formula>ROUND(($K4-1)/12,0)=INT($K4-1)/12</formula>
    </cfRule>
  </conditionalFormatting>
  <conditionalFormatting sqref="BV4:BV136">
    <cfRule type="expression" dxfId="3" priority="15" stopIfTrue="1">
      <formula>AND(ROW()-3=$B$1270,ISERROR(BV4))</formula>
    </cfRule>
    <cfRule type="expression" dxfId="2" priority="17" stopIfTrue="1">
      <formula>ISERROR(BV4)</formula>
    </cfRule>
  </conditionalFormatting>
  <conditionalFormatting sqref="A1:XFD3">
    <cfRule type="expression" dxfId="1"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topLeftCell="A100" zoomScale="70" zoomScaleNormal="70" workbookViewId="0">
      <selection activeCell="B176" sqref="B176"/>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1156</v>
      </c>
      <c r="B175" s="45">
        <v>560</v>
      </c>
    </row>
  </sheetData>
  <phoneticPr fontId="0" type="noConversion"/>
  <conditionalFormatting sqref="J25:L25">
    <cfRule type="expression" dxfId="101"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5" t="s">
        <v>438</v>
      </c>
      <c r="I18" s="535"/>
      <c r="J18" s="535"/>
      <c r="K18" s="536"/>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67"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2025-08-05T03:05:33Z</dcterms:modified>
</cp:coreProperties>
</file>